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5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7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9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20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21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22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3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6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7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8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4.xml" ContentType="application/vnd.openxmlformats-officedocument.drawing+xml"/>
  <Override PartName="/xl/charts/chart29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30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31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32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5.xml" ContentType="application/vnd.openxmlformats-officedocument.drawing+xml"/>
  <Override PartName="/xl/charts/chart33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34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5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6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6.xml" ContentType="application/vnd.openxmlformats-officedocument.drawing+xml"/>
  <Override PartName="/xl/charts/chart37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8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9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40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17.xml" ContentType="application/vnd.openxmlformats-officedocument.drawing+xml"/>
  <Override PartName="/xl/charts/chart41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42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43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44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18.xml" ContentType="application/vnd.openxmlformats-officedocument.drawing+xml"/>
  <Override PartName="/xl/charts/chart45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6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7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8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19.xml" ContentType="application/vnd.openxmlformats-officedocument.drawing+xml"/>
  <Override PartName="/xl/charts/chart49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50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51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52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20.xml" ContentType="application/vnd.openxmlformats-officedocument.drawing+xml"/>
  <Override PartName="/xl/charts/chart53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54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5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6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21.xml" ContentType="application/vnd.openxmlformats-officedocument.drawing+xml"/>
  <Override PartName="/xl/charts/chart57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8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9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60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22.xml" ContentType="application/vnd.openxmlformats-officedocument.drawing+xml"/>
  <Override PartName="/xl/charts/chart61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62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63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64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drawings/drawing23.xml" ContentType="application/vnd.openxmlformats-officedocument.drawing+xml"/>
  <Override PartName="/xl/charts/chart65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6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7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8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drawings/drawing24.xml" ContentType="application/vnd.openxmlformats-officedocument.drawing+xml"/>
  <Override PartName="/xl/charts/chart69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70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71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72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y Drive\Documents\GECKO\Ziemann\C10-alkylnitrates\"/>
    </mc:Choice>
  </mc:AlternateContent>
  <bookViews>
    <workbookView xWindow="33870" yWindow="0" windowWidth="6510" windowHeight="7485" firstSheet="8" activeTab="9"/>
  </bookViews>
  <sheets>
    <sheet name="BR1" sheetId="6" r:id="rId1"/>
    <sheet name="BR2" sheetId="5" r:id="rId2"/>
    <sheet name="BR3" sheetId="2" r:id="rId3"/>
    <sheet name="BR4" sheetId="3" r:id="rId4"/>
    <sheet name="BR5" sheetId="4" r:id="rId5"/>
    <sheet name="BR_all" sheetId="7" r:id="rId6"/>
    <sheet name="paths_all" sheetId="8" r:id="rId7"/>
    <sheet name="paths_all_DHF" sheetId="23" r:id="rId8"/>
    <sheet name="paths_all (DHF_multi_g)" sheetId="24" r:id="rId9"/>
    <sheet name="paths_all (revised)" sheetId="25" r:id="rId10"/>
    <sheet name="12-bar plot" sheetId="26" r:id="rId11"/>
    <sheet name="C" sheetId="21" r:id="rId12"/>
    <sheet name="CN" sheetId="11" r:id="rId13"/>
    <sheet name="HC" sheetId="9" r:id="rId14"/>
    <sheet name="HN" sheetId="12" r:id="rId15"/>
    <sheet name="NN" sheetId="18" r:id="rId16"/>
    <sheet name="HCN" sheetId="20" r:id="rId17"/>
    <sheet name="HHC" sheetId="10" r:id="rId18"/>
    <sheet name="HHN" sheetId="13" r:id="rId19"/>
    <sheet name="HNN" sheetId="19" r:id="rId20"/>
    <sheet name="HHCN" sheetId="22" r:id="rId21"/>
    <sheet name="HHNN" sheetId="14" r:id="rId22"/>
    <sheet name="DCMP" sheetId="15" r:id="rId23"/>
  </sheets>
  <externalReferences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25" l="1"/>
  <c r="B35" i="25"/>
  <c r="B32" i="25" l="1"/>
  <c r="B36" i="25"/>
  <c r="B34" i="25"/>
  <c r="E33" i="25" l="1"/>
  <c r="E35" i="25"/>
  <c r="E32" i="25" l="1"/>
  <c r="E36" i="25"/>
  <c r="E34" i="25"/>
  <c r="C33" i="25" l="1"/>
  <c r="C34" i="25" l="1"/>
  <c r="C36" i="25"/>
  <c r="C32" i="25"/>
  <c r="C35" i="25"/>
  <c r="F33" i="25" l="1"/>
  <c r="F35" i="25"/>
  <c r="F36" i="25"/>
  <c r="F34" i="25"/>
  <c r="F32" i="25" l="1"/>
  <c r="AF10" i="25" l="1"/>
  <c r="AF8" i="25"/>
  <c r="AF6" i="25"/>
  <c r="AF5" i="25"/>
  <c r="AF4" i="25"/>
  <c r="AF9" i="25"/>
  <c r="F11" i="25"/>
  <c r="AF11" i="25"/>
  <c r="AF7" i="25"/>
  <c r="F4" i="25"/>
  <c r="F5" i="25"/>
  <c r="F6" i="25"/>
  <c r="F7" i="25"/>
  <c r="F8" i="25"/>
  <c r="F9" i="25"/>
  <c r="F10" i="25"/>
  <c r="AE11" i="25" l="1"/>
  <c r="E11" i="25"/>
  <c r="D11" i="25"/>
  <c r="AD11" i="25"/>
  <c r="AB4" i="25"/>
  <c r="AC11" i="25"/>
  <c r="AB11" i="25"/>
  <c r="AB10" i="25"/>
  <c r="AB9" i="25"/>
  <c r="AB8" i="25"/>
  <c r="AB7" i="25"/>
  <c r="AB6" i="25"/>
  <c r="AB5" i="25"/>
  <c r="D33" i="25" l="1"/>
  <c r="E9" i="25"/>
  <c r="E8" i="25"/>
  <c r="E7" i="25"/>
  <c r="E6" i="25"/>
  <c r="E5" i="25"/>
  <c r="E4" i="25"/>
  <c r="AE10" i="25"/>
  <c r="AE9" i="25"/>
  <c r="AE8" i="25"/>
  <c r="AE7" i="25"/>
  <c r="AE6" i="25"/>
  <c r="AE5" i="25"/>
  <c r="AE4" i="25"/>
  <c r="E10" i="25"/>
  <c r="D10" i="25"/>
  <c r="AD4" i="25"/>
  <c r="AD5" i="25"/>
  <c r="AD6" i="25"/>
  <c r="D8" i="25"/>
  <c r="AD7" i="25"/>
  <c r="AD10" i="25"/>
  <c r="AD9" i="25"/>
  <c r="AD8" i="25"/>
  <c r="D9" i="25"/>
  <c r="D4" i="25"/>
  <c r="D5" i="25"/>
  <c r="D6" i="25"/>
  <c r="D7" i="25"/>
  <c r="D36" i="25" l="1"/>
  <c r="D34" i="25"/>
  <c r="D35" i="25"/>
  <c r="D32" i="25"/>
  <c r="B11" i="25"/>
  <c r="B10" i="25"/>
  <c r="B9" i="25"/>
  <c r="B8" i="25"/>
  <c r="B7" i="25"/>
  <c r="B6" i="25"/>
  <c r="B5" i="25"/>
  <c r="B4" i="25"/>
  <c r="B13" i="25" l="1"/>
  <c r="AB13" i="25"/>
  <c r="B12" i="25" l="1"/>
  <c r="AB12" i="25"/>
  <c r="C11" i="25"/>
  <c r="B15" i="25" l="1"/>
  <c r="AB15" i="25"/>
  <c r="B16" i="25"/>
  <c r="AB16" i="25"/>
  <c r="B14" i="25"/>
  <c r="AB14" i="25"/>
  <c r="C10" i="25" l="1"/>
  <c r="AC10" i="25"/>
  <c r="C6" i="25"/>
  <c r="AC6" i="25"/>
  <c r="C9" i="25"/>
  <c r="AC9" i="25"/>
  <c r="C4" i="25"/>
  <c r="C5" i="25"/>
  <c r="AC5" i="25"/>
  <c r="C7" i="25"/>
  <c r="AC7" i="25"/>
  <c r="AC4" i="25"/>
  <c r="C8" i="25"/>
  <c r="AC8" i="25"/>
  <c r="AC15" i="25" l="1"/>
  <c r="F15" i="25"/>
  <c r="AC13" i="25"/>
  <c r="F13" i="25"/>
  <c r="C13" i="25"/>
  <c r="C15" i="25"/>
  <c r="F12" i="25" l="1"/>
  <c r="AC16" i="25"/>
  <c r="F16" i="25"/>
  <c r="AC14" i="25"/>
  <c r="F14" i="25"/>
  <c r="C12" i="25"/>
  <c r="AC12" i="25"/>
  <c r="C16" i="25"/>
  <c r="C14" i="25"/>
  <c r="AF15" i="25" l="1"/>
  <c r="AF13" i="25"/>
  <c r="AF16" i="25" l="1"/>
  <c r="AF14" i="25"/>
  <c r="AF12" i="25"/>
  <c r="AD15" i="25" l="1"/>
  <c r="D15" i="25"/>
  <c r="AD13" i="25"/>
  <c r="D13" i="25"/>
  <c r="AD14" i="25" l="1"/>
  <c r="D14" i="25"/>
  <c r="AD16" i="25"/>
  <c r="D16" i="25"/>
  <c r="AD12" i="25"/>
  <c r="D12" i="25"/>
  <c r="X11" i="26" l="1"/>
  <c r="R11" i="26"/>
  <c r="L11" i="26"/>
  <c r="F11" i="26"/>
  <c r="F51" i="25"/>
  <c r="F31" i="25"/>
  <c r="X8" i="26" l="1"/>
  <c r="X4" i="26"/>
  <c r="R10" i="26"/>
  <c r="X7" i="26"/>
  <c r="R5" i="26"/>
  <c r="X10" i="26"/>
  <c r="L6" i="26"/>
  <c r="L7" i="26"/>
  <c r="L8" i="26"/>
  <c r="L9" i="26"/>
  <c r="L10" i="26"/>
  <c r="R4" i="26"/>
  <c r="R7" i="26"/>
  <c r="R8" i="26"/>
  <c r="R6" i="26"/>
  <c r="R9" i="26"/>
  <c r="X9" i="26"/>
  <c r="L4" i="26"/>
  <c r="L5" i="26"/>
  <c r="X5" i="26"/>
  <c r="X6" i="26"/>
  <c r="F44" i="25"/>
  <c r="F45" i="25"/>
  <c r="F46" i="25"/>
  <c r="F47" i="25"/>
  <c r="F48" i="25"/>
  <c r="F49" i="25"/>
  <c r="F50" i="25"/>
  <c r="F7" i="26" l="1"/>
  <c r="F27" i="25"/>
  <c r="F6" i="26"/>
  <c r="F26" i="25"/>
  <c r="F5" i="26"/>
  <c r="F25" i="25"/>
  <c r="F10" i="26"/>
  <c r="F30" i="25"/>
  <c r="F4" i="26"/>
  <c r="F24" i="25"/>
  <c r="F8" i="26"/>
  <c r="F28" i="25"/>
  <c r="F9" i="26"/>
  <c r="F29" i="25"/>
  <c r="E31" i="25" l="1"/>
  <c r="E29" i="25" l="1"/>
  <c r="E45" i="25"/>
  <c r="E46" i="25"/>
  <c r="E25" i="25"/>
  <c r="E47" i="25"/>
  <c r="E28" i="25"/>
  <c r="E30" i="25"/>
  <c r="E26" i="25"/>
  <c r="E27" i="25"/>
  <c r="E48" i="25"/>
  <c r="E49" i="25"/>
  <c r="E50" i="25"/>
  <c r="E51" i="25"/>
  <c r="E44" i="25" l="1"/>
  <c r="E24" i="25"/>
  <c r="I11" i="26" l="1"/>
  <c r="O11" i="26"/>
  <c r="D50" i="25" l="1"/>
  <c r="D49" i="25"/>
  <c r="D48" i="25"/>
  <c r="D47" i="25"/>
  <c r="D46" i="25"/>
  <c r="D45" i="25"/>
  <c r="D44" i="25"/>
  <c r="U9" i="26"/>
  <c r="U6" i="26"/>
  <c r="U5" i="26"/>
  <c r="I5" i="26"/>
  <c r="I4" i="26"/>
  <c r="O10" i="26"/>
  <c r="O9" i="26"/>
  <c r="O8" i="26"/>
  <c r="O7" i="26"/>
  <c r="O6" i="26"/>
  <c r="O5" i="26"/>
  <c r="O4" i="26"/>
  <c r="I10" i="26"/>
  <c r="I9" i="26"/>
  <c r="I8" i="26"/>
  <c r="I7" i="26"/>
  <c r="I6" i="26"/>
  <c r="U10" i="26"/>
  <c r="U4" i="26"/>
  <c r="U8" i="26"/>
  <c r="U7" i="26"/>
  <c r="D24" i="25" l="1"/>
  <c r="C4" i="26"/>
  <c r="D25" i="25"/>
  <c r="C5" i="26"/>
  <c r="C6" i="26"/>
  <c r="D26" i="25"/>
  <c r="D27" i="25"/>
  <c r="C7" i="26"/>
  <c r="D28" i="25"/>
  <c r="C8" i="26"/>
  <c r="D29" i="25"/>
  <c r="C9" i="26"/>
  <c r="C10" i="26"/>
  <c r="D30" i="25"/>
  <c r="D51" i="25"/>
  <c r="U11" i="26" l="1"/>
  <c r="D31" i="25" l="1"/>
  <c r="C11" i="26"/>
  <c r="F58" i="25" l="1"/>
  <c r="E58" i="25"/>
  <c r="D58" i="25"/>
  <c r="C58" i="25"/>
  <c r="C51" i="25"/>
  <c r="C50" i="25"/>
  <c r="C49" i="25"/>
  <c r="C48" i="25"/>
  <c r="C47" i="25"/>
  <c r="C46" i="25"/>
  <c r="C45" i="25"/>
  <c r="C44" i="25"/>
  <c r="C31" i="25"/>
  <c r="C30" i="25"/>
  <c r="C29" i="25"/>
  <c r="C28" i="25"/>
  <c r="C27" i="25"/>
  <c r="C26" i="25"/>
  <c r="C25" i="25"/>
  <c r="C24" i="25"/>
  <c r="T11" i="26" l="1"/>
  <c r="T10" i="26"/>
  <c r="T9" i="26"/>
  <c r="T8" i="26"/>
  <c r="T7" i="26"/>
  <c r="T6" i="26"/>
  <c r="T5" i="26"/>
  <c r="T4" i="26"/>
  <c r="N11" i="26"/>
  <c r="N10" i="26"/>
  <c r="N9" i="26"/>
  <c r="N8" i="26"/>
  <c r="N7" i="26"/>
  <c r="N6" i="26"/>
  <c r="N5" i="26"/>
  <c r="N4" i="26"/>
  <c r="H11" i="26"/>
  <c r="H10" i="26"/>
  <c r="H9" i="26"/>
  <c r="H8" i="26"/>
  <c r="H7" i="26"/>
  <c r="H6" i="26"/>
  <c r="H5" i="26"/>
  <c r="H4" i="26"/>
  <c r="B11" i="26"/>
  <c r="B10" i="26"/>
  <c r="B9" i="26"/>
  <c r="B8" i="26"/>
  <c r="B7" i="26"/>
  <c r="B6" i="26"/>
  <c r="B5" i="26"/>
  <c r="B4" i="26"/>
  <c r="L3" i="26"/>
  <c r="R3" i="26" s="1"/>
  <c r="X3" i="26" s="1"/>
  <c r="I3" i="26"/>
  <c r="O3" i="26" s="1"/>
  <c r="U3" i="26" s="1"/>
  <c r="H3" i="26"/>
  <c r="N3" i="26" s="1"/>
  <c r="T3" i="26" s="1"/>
  <c r="D3" i="26"/>
  <c r="J3" i="26" s="1"/>
  <c r="P3" i="26" s="1"/>
  <c r="V3" i="26" s="1"/>
  <c r="B51" i="25"/>
  <c r="B50" i="25"/>
  <c r="B49" i="25"/>
  <c r="B48" i="25"/>
  <c r="B47" i="25"/>
  <c r="B46" i="25"/>
  <c r="B45" i="25"/>
  <c r="B44" i="25"/>
  <c r="B31" i="25"/>
  <c r="B30" i="25"/>
  <c r="B29" i="25"/>
  <c r="B28" i="25"/>
  <c r="B27" i="25"/>
  <c r="B26" i="25"/>
  <c r="B25" i="25"/>
  <c r="B24" i="25"/>
  <c r="E3" i="26" l="1"/>
  <c r="K3" i="26" s="1"/>
  <c r="Q3" i="26" s="1"/>
  <c r="W3" i="26" s="1"/>
  <c r="F34" i="24"/>
  <c r="E34" i="24"/>
  <c r="D34" i="24"/>
  <c r="C34" i="24"/>
  <c r="B34" i="24"/>
  <c r="F33" i="24" l="1"/>
  <c r="E33" i="24"/>
  <c r="D33" i="24"/>
  <c r="D13" i="24" s="1"/>
  <c r="C33" i="24"/>
  <c r="C13" i="24" s="1"/>
  <c r="B33" i="24"/>
  <c r="F32" i="24"/>
  <c r="E32" i="24"/>
  <c r="E12" i="24" s="1"/>
  <c r="D32" i="24"/>
  <c r="D12" i="24" s="1"/>
  <c r="C32" i="24"/>
  <c r="B32" i="24"/>
  <c r="F31" i="24"/>
  <c r="F11" i="24" s="1"/>
  <c r="E31" i="24"/>
  <c r="E11" i="24" s="1"/>
  <c r="D31" i="24"/>
  <c r="C31" i="24"/>
  <c r="B31" i="24"/>
  <c r="B11" i="24" s="1"/>
  <c r="F30" i="24"/>
  <c r="F10" i="24" s="1"/>
  <c r="E30" i="24"/>
  <c r="D30" i="24"/>
  <c r="C30" i="24"/>
  <c r="C10" i="24" s="1"/>
  <c r="B30" i="24"/>
  <c r="B10" i="24" s="1"/>
  <c r="F29" i="24"/>
  <c r="E29" i="24"/>
  <c r="D29" i="24"/>
  <c r="D9" i="24" s="1"/>
  <c r="C29" i="24"/>
  <c r="C9" i="24" s="1"/>
  <c r="B29" i="24"/>
  <c r="F27" i="24"/>
  <c r="E27" i="24"/>
  <c r="D27" i="24"/>
  <c r="C27" i="24"/>
  <c r="B27" i="24"/>
  <c r="F26" i="24"/>
  <c r="E26" i="24"/>
  <c r="D26" i="24"/>
  <c r="C26" i="24"/>
  <c r="B26" i="24"/>
  <c r="F25" i="24"/>
  <c r="E25" i="24"/>
  <c r="D25" i="24"/>
  <c r="C25" i="24"/>
  <c r="B25" i="24"/>
  <c r="F24" i="24"/>
  <c r="E24" i="24"/>
  <c r="D24" i="24"/>
  <c r="C24" i="24"/>
  <c r="B24" i="24"/>
  <c r="F23" i="24"/>
  <c r="E23" i="24"/>
  <c r="D23" i="24"/>
  <c r="C23" i="24"/>
  <c r="B23" i="24"/>
  <c r="F13" i="24"/>
  <c r="E13" i="24"/>
  <c r="B13" i="24"/>
  <c r="F12" i="24"/>
  <c r="C12" i="24"/>
  <c r="B12" i="24"/>
  <c r="D11" i="24"/>
  <c r="C11" i="24"/>
  <c r="E10" i="24"/>
  <c r="D10" i="24"/>
  <c r="F9" i="24"/>
  <c r="E9" i="24"/>
  <c r="B9" i="24"/>
  <c r="F7" i="24"/>
  <c r="E7" i="24"/>
  <c r="D7" i="24"/>
  <c r="C7" i="24"/>
  <c r="B7" i="24"/>
  <c r="F6" i="24"/>
  <c r="E6" i="24"/>
  <c r="D6" i="24"/>
  <c r="C6" i="24"/>
  <c r="B6" i="24"/>
  <c r="F5" i="24"/>
  <c r="E5" i="24"/>
  <c r="D5" i="24"/>
  <c r="C5" i="24"/>
  <c r="B5" i="24"/>
  <c r="F4" i="24"/>
  <c r="E4" i="24"/>
  <c r="D4" i="24"/>
  <c r="C4" i="24"/>
  <c r="B4" i="24"/>
  <c r="F3" i="24"/>
  <c r="E3" i="24"/>
  <c r="D3" i="24"/>
  <c r="C3" i="24"/>
  <c r="B3" i="24"/>
  <c r="E28" i="23" l="1"/>
  <c r="F28" i="23" l="1"/>
  <c r="C28" i="23" l="1"/>
  <c r="B28" i="23" l="1"/>
  <c r="C26" i="23" l="1"/>
  <c r="B26" i="23"/>
  <c r="C25" i="23"/>
  <c r="B25" i="23"/>
  <c r="C24" i="23"/>
  <c r="B24" i="23"/>
  <c r="C23" i="23"/>
  <c r="B23" i="23"/>
  <c r="C22" i="23"/>
  <c r="B22" i="23"/>
  <c r="C21" i="23"/>
  <c r="B21" i="23"/>
  <c r="D26" i="23"/>
  <c r="D25" i="23"/>
  <c r="D24" i="23"/>
  <c r="D23" i="23"/>
  <c r="D22" i="23"/>
  <c r="D21" i="23"/>
  <c r="D20" i="23"/>
  <c r="C29" i="23" l="1"/>
  <c r="C31" i="23"/>
  <c r="C32" i="23" l="1"/>
  <c r="C30" i="23"/>
  <c r="C20" i="23" l="1"/>
  <c r="B29" i="23" l="1"/>
  <c r="B31" i="23"/>
  <c r="B32" i="23" l="1"/>
  <c r="B30" i="23"/>
  <c r="E29" i="23" l="1"/>
  <c r="B20" i="23" l="1"/>
  <c r="F29" i="23"/>
  <c r="F31" i="23"/>
  <c r="F32" i="23" l="1"/>
  <c r="F30" i="23"/>
  <c r="E26" i="23" l="1"/>
  <c r="E25" i="23"/>
  <c r="E24" i="23"/>
  <c r="E23" i="23"/>
  <c r="E22" i="23"/>
  <c r="E21" i="23"/>
  <c r="E20" i="23"/>
  <c r="E31" i="23" l="1"/>
  <c r="F25" i="23" l="1"/>
  <c r="F21" i="23"/>
  <c r="F23" i="23"/>
  <c r="F26" i="23"/>
  <c r="F22" i="23"/>
  <c r="F24" i="23"/>
  <c r="F20" i="23"/>
  <c r="E32" i="23"/>
  <c r="E30" i="23"/>
  <c r="F4" i="23" l="1"/>
  <c r="D4" i="23"/>
  <c r="C4" i="23"/>
  <c r="B4" i="23"/>
  <c r="E24" i="8" l="1"/>
  <c r="E23" i="8"/>
  <c r="E22" i="8"/>
  <c r="E21" i="8"/>
  <c r="E20" i="8"/>
  <c r="E19" i="8"/>
  <c r="F8" i="8" l="1"/>
  <c r="F7" i="8"/>
  <c r="F6" i="8"/>
  <c r="F5" i="8"/>
  <c r="F4" i="8"/>
  <c r="F3" i="8"/>
  <c r="E8" i="8"/>
  <c r="E7" i="8"/>
  <c r="E6" i="8"/>
  <c r="E5" i="8"/>
  <c r="E4" i="8"/>
  <c r="E3" i="8"/>
  <c r="D8" i="8"/>
  <c r="D7" i="8"/>
  <c r="D6" i="8"/>
  <c r="D5" i="8"/>
  <c r="D4" i="8"/>
  <c r="D3" i="8"/>
  <c r="I13" i="2" l="1"/>
  <c r="I12" i="2"/>
  <c r="I11" i="2"/>
  <c r="I10" i="2"/>
  <c r="I9" i="2"/>
  <c r="I8" i="2"/>
  <c r="I7" i="2"/>
  <c r="I5" i="2"/>
  <c r="I4" i="2"/>
  <c r="C16" i="22"/>
  <c r="C28" i="22" s="1"/>
  <c r="K4" i="22"/>
  <c r="K16" i="22" s="1"/>
  <c r="F4" i="22"/>
  <c r="F16" i="22" s="1"/>
  <c r="F28" i="22" s="1"/>
  <c r="E4" i="22"/>
  <c r="D4" i="22"/>
  <c r="D16" i="22" s="1"/>
  <c r="D28" i="22" s="1"/>
  <c r="C4" i="22"/>
  <c r="J4" i="22" s="1"/>
  <c r="J16" i="22" s="1"/>
  <c r="B4" i="22"/>
  <c r="B16" i="22" s="1"/>
  <c r="B28" i="22" s="1"/>
  <c r="D1" i="22"/>
  <c r="E16" i="15"/>
  <c r="E28" i="15" s="1"/>
  <c r="M4" i="15"/>
  <c r="M16" i="15" s="1"/>
  <c r="I4" i="15"/>
  <c r="I16" i="15" s="1"/>
  <c r="F4" i="15"/>
  <c r="F16" i="15" s="1"/>
  <c r="F28" i="15" s="1"/>
  <c r="E4" i="15"/>
  <c r="L4" i="15" s="1"/>
  <c r="L16" i="15" s="1"/>
  <c r="D4" i="15"/>
  <c r="D16" i="15" s="1"/>
  <c r="D28" i="15" s="1"/>
  <c r="C4" i="15"/>
  <c r="C16" i="15" s="1"/>
  <c r="C28" i="15" s="1"/>
  <c r="B4" i="15"/>
  <c r="B16" i="15" s="1"/>
  <c r="B28" i="15" s="1"/>
  <c r="D1" i="15"/>
  <c r="E16" i="14"/>
  <c r="E28" i="14" s="1"/>
  <c r="M4" i="14"/>
  <c r="M16" i="14" s="1"/>
  <c r="I4" i="14"/>
  <c r="I16" i="14" s="1"/>
  <c r="F4" i="14"/>
  <c r="F16" i="14" s="1"/>
  <c r="F28" i="14" s="1"/>
  <c r="E4" i="14"/>
  <c r="L4" i="14" s="1"/>
  <c r="L16" i="14" s="1"/>
  <c r="D4" i="14"/>
  <c r="D16" i="14" s="1"/>
  <c r="D28" i="14" s="1"/>
  <c r="C4" i="14"/>
  <c r="C16" i="14" s="1"/>
  <c r="C28" i="14" s="1"/>
  <c r="B4" i="14"/>
  <c r="B16" i="14" s="1"/>
  <c r="B28" i="14" s="1"/>
  <c r="D1" i="14"/>
  <c r="F16" i="19"/>
  <c r="F28" i="19" s="1"/>
  <c r="E16" i="19"/>
  <c r="E28" i="19" s="1"/>
  <c r="B16" i="19"/>
  <c r="B28" i="19" s="1"/>
  <c r="M4" i="19"/>
  <c r="M16" i="19" s="1"/>
  <c r="I4" i="19"/>
  <c r="I16" i="19" s="1"/>
  <c r="F4" i="19"/>
  <c r="E4" i="19"/>
  <c r="L4" i="19" s="1"/>
  <c r="L16" i="19" s="1"/>
  <c r="D4" i="19"/>
  <c r="D16" i="19" s="1"/>
  <c r="D28" i="19" s="1"/>
  <c r="C4" i="19"/>
  <c r="B4" i="19"/>
  <c r="D1" i="19"/>
  <c r="F16" i="13"/>
  <c r="F28" i="13" s="1"/>
  <c r="E16" i="13"/>
  <c r="E28" i="13" s="1"/>
  <c r="B16" i="13"/>
  <c r="B28" i="13" s="1"/>
  <c r="M4" i="13"/>
  <c r="M16" i="13" s="1"/>
  <c r="I4" i="13"/>
  <c r="I16" i="13" s="1"/>
  <c r="F4" i="13"/>
  <c r="E4" i="13"/>
  <c r="L4" i="13" s="1"/>
  <c r="L16" i="13" s="1"/>
  <c r="D4" i="13"/>
  <c r="D16" i="13" s="1"/>
  <c r="D28" i="13" s="1"/>
  <c r="C4" i="13"/>
  <c r="B4" i="13"/>
  <c r="D1" i="13"/>
  <c r="F16" i="10"/>
  <c r="F28" i="10" s="1"/>
  <c r="E16" i="10"/>
  <c r="E28" i="10" s="1"/>
  <c r="B16" i="10"/>
  <c r="B28" i="10" s="1"/>
  <c r="M4" i="10"/>
  <c r="M16" i="10" s="1"/>
  <c r="I4" i="10"/>
  <c r="I16" i="10" s="1"/>
  <c r="F4" i="10"/>
  <c r="E4" i="10"/>
  <c r="L4" i="10" s="1"/>
  <c r="L16" i="10" s="1"/>
  <c r="D4" i="10"/>
  <c r="D16" i="10" s="1"/>
  <c r="D28" i="10" s="1"/>
  <c r="C4" i="10"/>
  <c r="B4" i="10"/>
  <c r="D1" i="10"/>
  <c r="E26" i="10" s="1"/>
  <c r="E16" i="20"/>
  <c r="E28" i="20" s="1"/>
  <c r="M4" i="20"/>
  <c r="M16" i="20" s="1"/>
  <c r="I4" i="20"/>
  <c r="I16" i="20" s="1"/>
  <c r="F4" i="20"/>
  <c r="F16" i="20" s="1"/>
  <c r="F28" i="20" s="1"/>
  <c r="E4" i="20"/>
  <c r="L4" i="20" s="1"/>
  <c r="L16" i="20" s="1"/>
  <c r="D4" i="20"/>
  <c r="D16" i="20" s="1"/>
  <c r="D28" i="20" s="1"/>
  <c r="C4" i="20"/>
  <c r="C16" i="20" s="1"/>
  <c r="C28" i="20" s="1"/>
  <c r="B4" i="20"/>
  <c r="B16" i="20" s="1"/>
  <c r="B28" i="20" s="1"/>
  <c r="D1" i="20"/>
  <c r="E16" i="18"/>
  <c r="E28" i="18" s="1"/>
  <c r="M4" i="18"/>
  <c r="M16" i="18" s="1"/>
  <c r="I4" i="18"/>
  <c r="I16" i="18" s="1"/>
  <c r="F4" i="18"/>
  <c r="F16" i="18" s="1"/>
  <c r="F28" i="18" s="1"/>
  <c r="E4" i="18"/>
  <c r="L4" i="18" s="1"/>
  <c r="L16" i="18" s="1"/>
  <c r="D4" i="18"/>
  <c r="D16" i="18" s="1"/>
  <c r="D28" i="18" s="1"/>
  <c r="C4" i="18"/>
  <c r="C16" i="18" s="1"/>
  <c r="C28" i="18" s="1"/>
  <c r="B4" i="18"/>
  <c r="B16" i="18" s="1"/>
  <c r="B28" i="18" s="1"/>
  <c r="D1" i="18"/>
  <c r="F16" i="12"/>
  <c r="F28" i="12" s="1"/>
  <c r="E16" i="12"/>
  <c r="E28" i="12" s="1"/>
  <c r="B16" i="12"/>
  <c r="B28" i="12" s="1"/>
  <c r="M4" i="12"/>
  <c r="M16" i="12" s="1"/>
  <c r="I4" i="12"/>
  <c r="I16" i="12" s="1"/>
  <c r="F4" i="12"/>
  <c r="E4" i="12"/>
  <c r="L4" i="12" s="1"/>
  <c r="L16" i="12" s="1"/>
  <c r="D4" i="12"/>
  <c r="D16" i="12" s="1"/>
  <c r="D28" i="12" s="1"/>
  <c r="C4" i="12"/>
  <c r="J4" i="12" s="1"/>
  <c r="J16" i="12" s="1"/>
  <c r="B4" i="12"/>
  <c r="D1" i="12"/>
  <c r="E16" i="9"/>
  <c r="E28" i="9" s="1"/>
  <c r="M4" i="9"/>
  <c r="M16" i="9" s="1"/>
  <c r="I4" i="9"/>
  <c r="I16" i="9" s="1"/>
  <c r="F4" i="9"/>
  <c r="F16" i="9" s="1"/>
  <c r="F28" i="9" s="1"/>
  <c r="E4" i="9"/>
  <c r="L4" i="9" s="1"/>
  <c r="L16" i="9" s="1"/>
  <c r="D4" i="9"/>
  <c r="D16" i="9" s="1"/>
  <c r="D28" i="9" s="1"/>
  <c r="C4" i="9"/>
  <c r="C16" i="9" s="1"/>
  <c r="C28" i="9" s="1"/>
  <c r="B4" i="9"/>
  <c r="B16" i="9" s="1"/>
  <c r="B28" i="9" s="1"/>
  <c r="D1" i="9"/>
  <c r="M4" i="11"/>
  <c r="M16" i="11" s="1"/>
  <c r="F4" i="11"/>
  <c r="F16" i="11" s="1"/>
  <c r="F28" i="11" s="1"/>
  <c r="E4" i="11"/>
  <c r="L4" i="11" s="1"/>
  <c r="L16" i="11" s="1"/>
  <c r="D4" i="11"/>
  <c r="D16" i="11" s="1"/>
  <c r="D28" i="11" s="1"/>
  <c r="C4" i="11"/>
  <c r="C16" i="11" s="1"/>
  <c r="C28" i="11" s="1"/>
  <c r="B4" i="11"/>
  <c r="B16" i="11" s="1"/>
  <c r="B28" i="11" s="1"/>
  <c r="F28" i="21"/>
  <c r="E28" i="21"/>
  <c r="D28" i="21"/>
  <c r="C28" i="21"/>
  <c r="M16" i="21"/>
  <c r="L16" i="21"/>
  <c r="K16" i="21"/>
  <c r="J16" i="21"/>
  <c r="I16" i="21"/>
  <c r="F16" i="21"/>
  <c r="E16" i="21"/>
  <c r="D16" i="21"/>
  <c r="C16" i="21"/>
  <c r="B16" i="21"/>
  <c r="B28" i="21" s="1"/>
  <c r="M4" i="21"/>
  <c r="L4" i="21"/>
  <c r="K4" i="21"/>
  <c r="J4" i="21"/>
  <c r="I4" i="21"/>
  <c r="F4" i="21"/>
  <c r="E4" i="21"/>
  <c r="D4" i="21"/>
  <c r="C4" i="21"/>
  <c r="B4" i="21"/>
  <c r="D1" i="21"/>
  <c r="E26" i="21" s="1"/>
  <c r="E12" i="22" l="1"/>
  <c r="E36" i="22" s="1"/>
  <c r="E6" i="22"/>
  <c r="E30" i="22" s="1"/>
  <c r="E14" i="22"/>
  <c r="E38" i="22" s="1"/>
  <c r="E21" i="22"/>
  <c r="E8" i="22"/>
  <c r="E32" i="22" s="1"/>
  <c r="E17" i="22"/>
  <c r="F26" i="22"/>
  <c r="B26" i="22"/>
  <c r="F24" i="22"/>
  <c r="B24" i="22"/>
  <c r="F22" i="22"/>
  <c r="B22" i="22"/>
  <c r="F20" i="22"/>
  <c r="B20" i="22"/>
  <c r="F18" i="22"/>
  <c r="B18" i="22"/>
  <c r="F13" i="22"/>
  <c r="F37" i="22" s="1"/>
  <c r="B13" i="22"/>
  <c r="B37" i="22" s="1"/>
  <c r="F11" i="22"/>
  <c r="F35" i="22" s="1"/>
  <c r="B11" i="22"/>
  <c r="B35" i="22" s="1"/>
  <c r="F9" i="22"/>
  <c r="F33" i="22" s="1"/>
  <c r="B9" i="22"/>
  <c r="B33" i="22" s="1"/>
  <c r="F7" i="22"/>
  <c r="B7" i="22"/>
  <c r="B31" i="22" s="1"/>
  <c r="F5" i="22"/>
  <c r="B5" i="22"/>
  <c r="E26" i="22"/>
  <c r="E24" i="22"/>
  <c r="E22" i="22"/>
  <c r="E20" i="22"/>
  <c r="E18" i="22"/>
  <c r="E13" i="22"/>
  <c r="E11" i="22"/>
  <c r="E35" i="22" s="1"/>
  <c r="E9" i="22"/>
  <c r="E33" i="22" s="1"/>
  <c r="E7" i="22"/>
  <c r="E31" i="22" s="1"/>
  <c r="E5" i="22"/>
  <c r="E25" i="22"/>
  <c r="E23" i="22"/>
  <c r="F25" i="22"/>
  <c r="B25" i="22"/>
  <c r="F23" i="22"/>
  <c r="B23" i="22"/>
  <c r="F21" i="22"/>
  <c r="B21" i="22"/>
  <c r="F19" i="22"/>
  <c r="B19" i="22"/>
  <c r="F17" i="22"/>
  <c r="B17" i="22"/>
  <c r="F14" i="22"/>
  <c r="B14" i="22"/>
  <c r="F12" i="22"/>
  <c r="F36" i="22" s="1"/>
  <c r="B12" i="22"/>
  <c r="F10" i="22"/>
  <c r="F34" i="22" s="1"/>
  <c r="B10" i="22"/>
  <c r="B34" i="22" s="1"/>
  <c r="F8" i="22"/>
  <c r="F32" i="22" s="1"/>
  <c r="B8" i="22"/>
  <c r="B32" i="22" s="1"/>
  <c r="F6" i="22"/>
  <c r="F30" i="22" s="1"/>
  <c r="B6" i="22"/>
  <c r="B30" i="22" s="1"/>
  <c r="E16" i="22"/>
  <c r="E28" i="22" s="1"/>
  <c r="L4" i="22"/>
  <c r="L16" i="22" s="1"/>
  <c r="E10" i="22"/>
  <c r="E34" i="22" s="1"/>
  <c r="E19" i="22"/>
  <c r="E7" i="15"/>
  <c r="E11" i="15"/>
  <c r="E20" i="15"/>
  <c r="E24" i="15"/>
  <c r="I4" i="22"/>
  <c r="I16" i="22" s="1"/>
  <c r="M4" i="22"/>
  <c r="M16" i="22" s="1"/>
  <c r="E5" i="15"/>
  <c r="E9" i="15"/>
  <c r="E13" i="15"/>
  <c r="E18" i="15"/>
  <c r="E22" i="15"/>
  <c r="E26" i="15"/>
  <c r="F7" i="19"/>
  <c r="F31" i="19" s="1"/>
  <c r="J4" i="15"/>
  <c r="J16" i="15" s="1"/>
  <c r="B5" i="15"/>
  <c r="F5" i="15"/>
  <c r="B7" i="15"/>
  <c r="F7" i="15"/>
  <c r="B9" i="15"/>
  <c r="F9" i="15"/>
  <c r="B11" i="15"/>
  <c r="F11" i="15"/>
  <c r="B13" i="15"/>
  <c r="F13" i="15"/>
  <c r="B18" i="15"/>
  <c r="F18" i="15"/>
  <c r="B20" i="15"/>
  <c r="F20" i="15"/>
  <c r="B22" i="15"/>
  <c r="F22" i="15"/>
  <c r="B24" i="15"/>
  <c r="F24" i="15"/>
  <c r="B26" i="15"/>
  <c r="F26" i="15"/>
  <c r="K4" i="15"/>
  <c r="K16" i="15" s="1"/>
  <c r="E6" i="15"/>
  <c r="E8" i="15"/>
  <c r="E10" i="15"/>
  <c r="E12" i="15"/>
  <c r="E14" i="15"/>
  <c r="E17" i="15"/>
  <c r="E19" i="15"/>
  <c r="E21" i="15"/>
  <c r="E23" i="15"/>
  <c r="E25" i="15"/>
  <c r="B6" i="15"/>
  <c r="F6" i="15"/>
  <c r="B8" i="15"/>
  <c r="F8" i="15"/>
  <c r="B10" i="15"/>
  <c r="F10" i="15"/>
  <c r="B12" i="15"/>
  <c r="F12" i="15"/>
  <c r="B14" i="15"/>
  <c r="F14" i="15"/>
  <c r="B17" i="15"/>
  <c r="F17" i="15"/>
  <c r="B19" i="15"/>
  <c r="F19" i="15"/>
  <c r="B21" i="15"/>
  <c r="F21" i="15"/>
  <c r="B23" i="15"/>
  <c r="F23" i="15"/>
  <c r="B25" i="15"/>
  <c r="F25" i="15"/>
  <c r="E26" i="13"/>
  <c r="E9" i="19"/>
  <c r="E7" i="14"/>
  <c r="E11" i="14"/>
  <c r="E20" i="14"/>
  <c r="E24" i="14"/>
  <c r="E9" i="13"/>
  <c r="B20" i="13"/>
  <c r="E5" i="19"/>
  <c r="B11" i="19"/>
  <c r="E5" i="14"/>
  <c r="E9" i="14"/>
  <c r="E13" i="14"/>
  <c r="E18" i="14"/>
  <c r="E22" i="14"/>
  <c r="E26" i="14"/>
  <c r="B11" i="13"/>
  <c r="B5" i="19"/>
  <c r="F9" i="19"/>
  <c r="F33" i="19" s="1"/>
  <c r="E11" i="19"/>
  <c r="B13" i="19"/>
  <c r="E18" i="19"/>
  <c r="E22" i="19"/>
  <c r="E26" i="19"/>
  <c r="J4" i="14"/>
  <c r="J16" i="14" s="1"/>
  <c r="B5" i="14"/>
  <c r="F5" i="14"/>
  <c r="B7" i="14"/>
  <c r="F7" i="14"/>
  <c r="B9" i="14"/>
  <c r="F9" i="14"/>
  <c r="B11" i="14"/>
  <c r="F11" i="14"/>
  <c r="B13" i="14"/>
  <c r="F13" i="14"/>
  <c r="B18" i="14"/>
  <c r="F18" i="14"/>
  <c r="B20" i="14"/>
  <c r="F20" i="14"/>
  <c r="B22" i="14"/>
  <c r="F22" i="14"/>
  <c r="B24" i="14"/>
  <c r="F24" i="14"/>
  <c r="B26" i="14"/>
  <c r="F26" i="14"/>
  <c r="B7" i="19"/>
  <c r="F11" i="19"/>
  <c r="F35" i="19" s="1"/>
  <c r="E13" i="19"/>
  <c r="E37" i="19" s="1"/>
  <c r="K4" i="14"/>
  <c r="K16" i="14" s="1"/>
  <c r="E6" i="14"/>
  <c r="E8" i="14"/>
  <c r="E10" i="14"/>
  <c r="E12" i="14"/>
  <c r="E14" i="14"/>
  <c r="E17" i="14"/>
  <c r="E19" i="14"/>
  <c r="E21" i="14"/>
  <c r="E23" i="14"/>
  <c r="E25" i="14"/>
  <c r="F7" i="13"/>
  <c r="E18" i="13"/>
  <c r="F24" i="13"/>
  <c r="F5" i="19"/>
  <c r="E7" i="19"/>
  <c r="B9" i="19"/>
  <c r="F13" i="19"/>
  <c r="F37" i="19" s="1"/>
  <c r="E20" i="19"/>
  <c r="E24" i="19"/>
  <c r="B6" i="14"/>
  <c r="F6" i="14"/>
  <c r="B8" i="14"/>
  <c r="F8" i="14"/>
  <c r="B10" i="14"/>
  <c r="F10" i="14"/>
  <c r="B12" i="14"/>
  <c r="F12" i="14"/>
  <c r="B14" i="14"/>
  <c r="F14" i="14"/>
  <c r="B17" i="14"/>
  <c r="F17" i="14"/>
  <c r="B19" i="14"/>
  <c r="F19" i="14"/>
  <c r="B21" i="14"/>
  <c r="F21" i="14"/>
  <c r="B23" i="14"/>
  <c r="F23" i="14"/>
  <c r="B25" i="14"/>
  <c r="F25" i="14"/>
  <c r="J4" i="19"/>
  <c r="J16" i="19" s="1"/>
  <c r="C16" i="19"/>
  <c r="C28" i="19" s="1"/>
  <c r="F9" i="13"/>
  <c r="F18" i="13"/>
  <c r="B22" i="13"/>
  <c r="F26" i="13"/>
  <c r="B18" i="19"/>
  <c r="F18" i="19"/>
  <c r="B20" i="19"/>
  <c r="F20" i="19"/>
  <c r="B22" i="19"/>
  <c r="F22" i="19"/>
  <c r="B24" i="19"/>
  <c r="F24" i="19"/>
  <c r="B26" i="19"/>
  <c r="F26" i="19"/>
  <c r="E9" i="10"/>
  <c r="E5" i="13"/>
  <c r="B7" i="13"/>
  <c r="F11" i="13"/>
  <c r="E13" i="13"/>
  <c r="F20" i="13"/>
  <c r="E22" i="13"/>
  <c r="B24" i="13"/>
  <c r="K4" i="19"/>
  <c r="K16" i="19" s="1"/>
  <c r="E6" i="19"/>
  <c r="E30" i="19" s="1"/>
  <c r="E8" i="19"/>
  <c r="E32" i="19" s="1"/>
  <c r="E10" i="19"/>
  <c r="E12" i="19"/>
  <c r="E14" i="19"/>
  <c r="E17" i="19"/>
  <c r="E19" i="19"/>
  <c r="E21" i="19"/>
  <c r="E23" i="19"/>
  <c r="E25" i="19"/>
  <c r="B5" i="13"/>
  <c r="E11" i="13"/>
  <c r="B13" i="13"/>
  <c r="E20" i="13"/>
  <c r="E18" i="10"/>
  <c r="F5" i="13"/>
  <c r="E7" i="13"/>
  <c r="B9" i="13"/>
  <c r="F13" i="13"/>
  <c r="B18" i="13"/>
  <c r="F22" i="13"/>
  <c r="E24" i="13"/>
  <c r="B26" i="13"/>
  <c r="B6" i="19"/>
  <c r="F6" i="19"/>
  <c r="F30" i="19" s="1"/>
  <c r="B8" i="19"/>
  <c r="F8" i="19"/>
  <c r="F32" i="19" s="1"/>
  <c r="B10" i="19"/>
  <c r="F10" i="19"/>
  <c r="F34" i="19" s="1"/>
  <c r="B12" i="19"/>
  <c r="F12" i="19"/>
  <c r="F36" i="19" s="1"/>
  <c r="B14" i="19"/>
  <c r="F14" i="19"/>
  <c r="F38" i="19" s="1"/>
  <c r="B17" i="19"/>
  <c r="F17" i="19"/>
  <c r="B19" i="19"/>
  <c r="F19" i="19"/>
  <c r="B21" i="19"/>
  <c r="F21" i="19"/>
  <c r="B23" i="19"/>
  <c r="F23" i="19"/>
  <c r="B25" i="19"/>
  <c r="F25" i="19"/>
  <c r="F9" i="10"/>
  <c r="B13" i="10"/>
  <c r="F18" i="10"/>
  <c r="F24" i="10"/>
  <c r="J4" i="13"/>
  <c r="J16" i="13" s="1"/>
  <c r="C16" i="13"/>
  <c r="C28" i="13" s="1"/>
  <c r="F7" i="10"/>
  <c r="B11" i="10"/>
  <c r="B20" i="10"/>
  <c r="B26" i="10"/>
  <c r="E24" i="10"/>
  <c r="F22" i="10"/>
  <c r="B18" i="10"/>
  <c r="F13" i="10"/>
  <c r="B9" i="10"/>
  <c r="E7" i="10"/>
  <c r="F5" i="10"/>
  <c r="F26" i="10"/>
  <c r="B22" i="10"/>
  <c r="E20" i="10"/>
  <c r="B24" i="10"/>
  <c r="E22" i="10"/>
  <c r="F20" i="10"/>
  <c r="E13" i="10"/>
  <c r="F11" i="10"/>
  <c r="B7" i="10"/>
  <c r="E5" i="10"/>
  <c r="B5" i="10"/>
  <c r="E11" i="10"/>
  <c r="K4" i="13"/>
  <c r="K16" i="13" s="1"/>
  <c r="E6" i="13"/>
  <c r="E8" i="13"/>
  <c r="E10" i="13"/>
  <c r="E12" i="13"/>
  <c r="E14" i="13"/>
  <c r="E17" i="13"/>
  <c r="E19" i="13"/>
  <c r="E21" i="13"/>
  <c r="E23" i="13"/>
  <c r="E25" i="13"/>
  <c r="B6" i="13"/>
  <c r="F6" i="13"/>
  <c r="B8" i="13"/>
  <c r="F8" i="13"/>
  <c r="B10" i="13"/>
  <c r="F10" i="13"/>
  <c r="B12" i="13"/>
  <c r="F12" i="13"/>
  <c r="B14" i="13"/>
  <c r="F14" i="13"/>
  <c r="B17" i="13"/>
  <c r="F17" i="13"/>
  <c r="B19" i="13"/>
  <c r="F19" i="13"/>
  <c r="B21" i="13"/>
  <c r="F21" i="13"/>
  <c r="B23" i="13"/>
  <c r="F23" i="13"/>
  <c r="B25" i="13"/>
  <c r="F25" i="13"/>
  <c r="J4" i="10"/>
  <c r="J16" i="10" s="1"/>
  <c r="C16" i="10"/>
  <c r="C28" i="10" s="1"/>
  <c r="E20" i="20"/>
  <c r="E11" i="20"/>
  <c r="E24" i="20"/>
  <c r="E7" i="20"/>
  <c r="K4" i="10"/>
  <c r="K16" i="10" s="1"/>
  <c r="E6" i="10"/>
  <c r="E8" i="10"/>
  <c r="E10" i="10"/>
  <c r="E12" i="10"/>
  <c r="E14" i="10"/>
  <c r="E17" i="10"/>
  <c r="E19" i="10"/>
  <c r="E21" i="10"/>
  <c r="E23" i="10"/>
  <c r="E25" i="10"/>
  <c r="B6" i="10"/>
  <c r="F6" i="10"/>
  <c r="B8" i="10"/>
  <c r="F8" i="10"/>
  <c r="B10" i="10"/>
  <c r="F10" i="10"/>
  <c r="B12" i="10"/>
  <c r="F12" i="10"/>
  <c r="B14" i="10"/>
  <c r="F14" i="10"/>
  <c r="B17" i="10"/>
  <c r="F17" i="10"/>
  <c r="B19" i="10"/>
  <c r="F19" i="10"/>
  <c r="B21" i="10"/>
  <c r="F21" i="10"/>
  <c r="B23" i="10"/>
  <c r="F23" i="10"/>
  <c r="B25" i="10"/>
  <c r="F25" i="10"/>
  <c r="E5" i="20"/>
  <c r="E9" i="20"/>
  <c r="E13" i="20"/>
  <c r="E18" i="20"/>
  <c r="E22" i="20"/>
  <c r="E26" i="20"/>
  <c r="J4" i="20"/>
  <c r="J16" i="20" s="1"/>
  <c r="B5" i="20"/>
  <c r="F5" i="20"/>
  <c r="B7" i="20"/>
  <c r="F7" i="20"/>
  <c r="B9" i="20"/>
  <c r="F9" i="20"/>
  <c r="F33" i="20" s="1"/>
  <c r="B11" i="20"/>
  <c r="F11" i="20"/>
  <c r="B13" i="20"/>
  <c r="F13" i="20"/>
  <c r="B18" i="20"/>
  <c r="F18" i="20"/>
  <c r="B20" i="20"/>
  <c r="F20" i="20"/>
  <c r="B22" i="20"/>
  <c r="F22" i="20"/>
  <c r="B24" i="20"/>
  <c r="F24" i="20"/>
  <c r="B26" i="20"/>
  <c r="F26" i="20"/>
  <c r="K4" i="20"/>
  <c r="K16" i="20" s="1"/>
  <c r="E6" i="20"/>
  <c r="E8" i="20"/>
  <c r="E32" i="20" s="1"/>
  <c r="E10" i="20"/>
  <c r="E12" i="20"/>
  <c r="E36" i="20" s="1"/>
  <c r="E14" i="20"/>
  <c r="E17" i="20"/>
  <c r="E19" i="20"/>
  <c r="E21" i="20"/>
  <c r="E23" i="20"/>
  <c r="E25" i="20"/>
  <c r="B9" i="12"/>
  <c r="B6" i="20"/>
  <c r="F6" i="20"/>
  <c r="F30" i="20" s="1"/>
  <c r="B8" i="20"/>
  <c r="F8" i="20"/>
  <c r="B10" i="20"/>
  <c r="F10" i="20"/>
  <c r="B12" i="20"/>
  <c r="F12" i="20"/>
  <c r="F36" i="20" s="1"/>
  <c r="B14" i="20"/>
  <c r="B38" i="20" s="1"/>
  <c r="F14" i="20"/>
  <c r="B17" i="20"/>
  <c r="F17" i="20"/>
  <c r="B19" i="20"/>
  <c r="F19" i="20"/>
  <c r="B21" i="20"/>
  <c r="F21" i="20"/>
  <c r="B23" i="20"/>
  <c r="F23" i="20"/>
  <c r="B25" i="20"/>
  <c r="F25" i="20"/>
  <c r="E5" i="18"/>
  <c r="E9" i="18"/>
  <c r="E13" i="18"/>
  <c r="E18" i="18"/>
  <c r="E22" i="18"/>
  <c r="E26" i="18"/>
  <c r="F5" i="12"/>
  <c r="E7" i="12"/>
  <c r="E7" i="18"/>
  <c r="E11" i="18"/>
  <c r="E20" i="18"/>
  <c r="E24" i="18"/>
  <c r="F7" i="12"/>
  <c r="E9" i="12"/>
  <c r="E11" i="12"/>
  <c r="E18" i="12"/>
  <c r="E22" i="12"/>
  <c r="E26" i="12"/>
  <c r="J4" i="18"/>
  <c r="J16" i="18" s="1"/>
  <c r="B5" i="18"/>
  <c r="F5" i="18"/>
  <c r="B7" i="18"/>
  <c r="F7" i="18"/>
  <c r="B9" i="18"/>
  <c r="F9" i="18"/>
  <c r="F33" i="18" s="1"/>
  <c r="B11" i="18"/>
  <c r="F11" i="18"/>
  <c r="B13" i="18"/>
  <c r="F13" i="18"/>
  <c r="B18" i="18"/>
  <c r="F18" i="18"/>
  <c r="B20" i="18"/>
  <c r="F20" i="18"/>
  <c r="B22" i="18"/>
  <c r="F22" i="18"/>
  <c r="B24" i="18"/>
  <c r="F24" i="18"/>
  <c r="B26" i="18"/>
  <c r="F26" i="18"/>
  <c r="B5" i="12"/>
  <c r="F9" i="12"/>
  <c r="K4" i="18"/>
  <c r="K16" i="18" s="1"/>
  <c r="E6" i="18"/>
  <c r="E8" i="18"/>
  <c r="E32" i="18" s="1"/>
  <c r="E10" i="18"/>
  <c r="E34" i="18" s="1"/>
  <c r="E12" i="18"/>
  <c r="E14" i="18"/>
  <c r="E17" i="18"/>
  <c r="E19" i="18"/>
  <c r="E21" i="18"/>
  <c r="E23" i="18"/>
  <c r="E25" i="18"/>
  <c r="E5" i="12"/>
  <c r="B7" i="12"/>
  <c r="E13" i="12"/>
  <c r="E20" i="12"/>
  <c r="E24" i="12"/>
  <c r="B6" i="18"/>
  <c r="F6" i="18"/>
  <c r="B8" i="18"/>
  <c r="F8" i="18"/>
  <c r="F32" i="18" s="1"/>
  <c r="B10" i="18"/>
  <c r="F10" i="18"/>
  <c r="F34" i="18" s="1"/>
  <c r="B12" i="18"/>
  <c r="F12" i="18"/>
  <c r="F36" i="18" s="1"/>
  <c r="B14" i="18"/>
  <c r="F14" i="18"/>
  <c r="F38" i="18" s="1"/>
  <c r="B17" i="18"/>
  <c r="F17" i="18"/>
  <c r="B19" i="18"/>
  <c r="F19" i="18"/>
  <c r="B21" i="18"/>
  <c r="F21" i="18"/>
  <c r="B23" i="18"/>
  <c r="F23" i="18"/>
  <c r="B25" i="18"/>
  <c r="F25" i="18"/>
  <c r="B11" i="12"/>
  <c r="F11" i="12"/>
  <c r="B13" i="12"/>
  <c r="F13" i="12"/>
  <c r="B18" i="12"/>
  <c r="F18" i="12"/>
  <c r="B20" i="12"/>
  <c r="F20" i="12"/>
  <c r="B22" i="12"/>
  <c r="F22" i="12"/>
  <c r="B24" i="12"/>
  <c r="F24" i="12"/>
  <c r="B26" i="12"/>
  <c r="F26" i="12"/>
  <c r="K4" i="12"/>
  <c r="K16" i="12" s="1"/>
  <c r="E6" i="12"/>
  <c r="E8" i="12"/>
  <c r="E10" i="12"/>
  <c r="E12" i="12"/>
  <c r="E14" i="12"/>
  <c r="C16" i="12"/>
  <c r="C28" i="12" s="1"/>
  <c r="E17" i="12"/>
  <c r="E19" i="12"/>
  <c r="E21" i="12"/>
  <c r="E23" i="12"/>
  <c r="E25" i="12"/>
  <c r="E5" i="9"/>
  <c r="E9" i="9"/>
  <c r="E13" i="9"/>
  <c r="E18" i="9"/>
  <c r="E22" i="9"/>
  <c r="E26" i="9"/>
  <c r="E7" i="9"/>
  <c r="E11" i="9"/>
  <c r="E20" i="9"/>
  <c r="E24" i="9"/>
  <c r="B6" i="12"/>
  <c r="F6" i="12"/>
  <c r="B8" i="12"/>
  <c r="F8" i="12"/>
  <c r="B10" i="12"/>
  <c r="F10" i="12"/>
  <c r="B12" i="12"/>
  <c r="F12" i="12"/>
  <c r="B14" i="12"/>
  <c r="F14" i="12"/>
  <c r="B17" i="12"/>
  <c r="F17" i="12"/>
  <c r="B19" i="12"/>
  <c r="F19" i="12"/>
  <c r="B21" i="12"/>
  <c r="F21" i="12"/>
  <c r="B23" i="12"/>
  <c r="F23" i="12"/>
  <c r="B25" i="12"/>
  <c r="F25" i="12"/>
  <c r="J4" i="9"/>
  <c r="J16" i="9" s="1"/>
  <c r="B5" i="9"/>
  <c r="F5" i="9"/>
  <c r="B7" i="9"/>
  <c r="F7" i="9"/>
  <c r="B9" i="9"/>
  <c r="F9" i="9"/>
  <c r="B11" i="9"/>
  <c r="F11" i="9"/>
  <c r="B13" i="9"/>
  <c r="F13" i="9"/>
  <c r="B18" i="9"/>
  <c r="F18" i="9"/>
  <c r="B20" i="9"/>
  <c r="F20" i="9"/>
  <c r="B22" i="9"/>
  <c r="F22" i="9"/>
  <c r="B24" i="9"/>
  <c r="F24" i="9"/>
  <c r="B26" i="9"/>
  <c r="F26" i="9"/>
  <c r="K4" i="9"/>
  <c r="K16" i="9" s="1"/>
  <c r="E6" i="9"/>
  <c r="E8" i="9"/>
  <c r="E10" i="9"/>
  <c r="E12" i="9"/>
  <c r="E14" i="9"/>
  <c r="E17" i="9"/>
  <c r="E19" i="9"/>
  <c r="E21" i="9"/>
  <c r="E23" i="9"/>
  <c r="E25" i="9"/>
  <c r="B6" i="9"/>
  <c r="F6" i="9"/>
  <c r="B8" i="9"/>
  <c r="F8" i="9"/>
  <c r="B10" i="9"/>
  <c r="F10" i="9"/>
  <c r="B12" i="9"/>
  <c r="F12" i="9"/>
  <c r="B14" i="9"/>
  <c r="F14" i="9"/>
  <c r="B17" i="9"/>
  <c r="F17" i="9"/>
  <c r="B19" i="9"/>
  <c r="F19" i="9"/>
  <c r="B21" i="9"/>
  <c r="F21" i="9"/>
  <c r="B23" i="9"/>
  <c r="F23" i="9"/>
  <c r="B25" i="9"/>
  <c r="F25" i="9"/>
  <c r="K4" i="11"/>
  <c r="K16" i="11" s="1"/>
  <c r="E16" i="11"/>
  <c r="E28" i="11" s="1"/>
  <c r="I4" i="11"/>
  <c r="I16" i="11" s="1"/>
  <c r="J4" i="11"/>
  <c r="J16" i="11" s="1"/>
  <c r="F14" i="21"/>
  <c r="F38" i="21" s="1"/>
  <c r="F6" i="21"/>
  <c r="F30" i="21" s="1"/>
  <c r="B22" i="21"/>
  <c r="B12" i="21"/>
  <c r="B36" i="21" s="1"/>
  <c r="F24" i="21"/>
  <c r="B10" i="21"/>
  <c r="B34" i="21" s="1"/>
  <c r="F12" i="21"/>
  <c r="F36" i="21" s="1"/>
  <c r="B20" i="21"/>
  <c r="F22" i="21"/>
  <c r="B8" i="21"/>
  <c r="B32" i="21" s="1"/>
  <c r="F10" i="21"/>
  <c r="F34" i="21" s="1"/>
  <c r="B18" i="21"/>
  <c r="F20" i="21"/>
  <c r="B26" i="21"/>
  <c r="B6" i="21"/>
  <c r="B30" i="21" s="1"/>
  <c r="F8" i="21"/>
  <c r="F32" i="21" s="1"/>
  <c r="B14" i="21"/>
  <c r="B38" i="21" s="1"/>
  <c r="F18" i="21"/>
  <c r="B24" i="21"/>
  <c r="F26" i="21"/>
  <c r="E5" i="21"/>
  <c r="E7" i="21"/>
  <c r="E31" i="21" s="1"/>
  <c r="E9" i="21"/>
  <c r="E33" i="21" s="1"/>
  <c r="E11" i="21"/>
  <c r="E35" i="21" s="1"/>
  <c r="E13" i="21"/>
  <c r="E37" i="21" s="1"/>
  <c r="E17" i="21"/>
  <c r="E19" i="21"/>
  <c r="E21" i="21"/>
  <c r="E23" i="21"/>
  <c r="E25" i="21"/>
  <c r="B5" i="21"/>
  <c r="F5" i="21"/>
  <c r="B7" i="21"/>
  <c r="B31" i="21" s="1"/>
  <c r="F7" i="21"/>
  <c r="F31" i="21" s="1"/>
  <c r="B9" i="21"/>
  <c r="B33" i="21" s="1"/>
  <c r="F9" i="21"/>
  <c r="B11" i="21"/>
  <c r="B35" i="21" s="1"/>
  <c r="F11" i="21"/>
  <c r="F35" i="21" s="1"/>
  <c r="B13" i="21"/>
  <c r="B37" i="21" s="1"/>
  <c r="F13" i="21"/>
  <c r="F37" i="21" s="1"/>
  <c r="B17" i="21"/>
  <c r="F17" i="21"/>
  <c r="B19" i="21"/>
  <c r="F19" i="21"/>
  <c r="B21" i="21"/>
  <c r="F21" i="21"/>
  <c r="B23" i="21"/>
  <c r="F23" i="21"/>
  <c r="B25" i="21"/>
  <c r="F25" i="21"/>
  <c r="E6" i="21"/>
  <c r="E30" i="21" s="1"/>
  <c r="E8" i="21"/>
  <c r="E10" i="21"/>
  <c r="E34" i="21" s="1"/>
  <c r="E12" i="21"/>
  <c r="E36" i="21" s="1"/>
  <c r="E14" i="21"/>
  <c r="E38" i="21" s="1"/>
  <c r="E18" i="21"/>
  <c r="E20" i="21"/>
  <c r="E22" i="21"/>
  <c r="E24" i="21"/>
  <c r="F30" i="18" l="1"/>
  <c r="E38" i="18"/>
  <c r="E38" i="19"/>
  <c r="E37" i="18"/>
  <c r="E38" i="20"/>
  <c r="E37" i="22"/>
  <c r="E36" i="19"/>
  <c r="F32" i="20"/>
  <c r="E34" i="20"/>
  <c r="E34" i="19"/>
  <c r="E37" i="20"/>
  <c r="F35" i="20"/>
  <c r="F31" i="20"/>
  <c r="E35" i="20"/>
  <c r="F31" i="22"/>
  <c r="E31" i="18"/>
  <c r="E31" i="19"/>
  <c r="E35" i="19"/>
  <c r="F37" i="18"/>
  <c r="E30" i="18"/>
  <c r="F35" i="18"/>
  <c r="F31" i="18"/>
  <c r="E33" i="20"/>
  <c r="E36" i="18"/>
  <c r="E35" i="18"/>
  <c r="E33" i="18"/>
  <c r="F38" i="20"/>
  <c r="F34" i="20"/>
  <c r="F37" i="20"/>
  <c r="E31" i="20"/>
  <c r="E33" i="19"/>
  <c r="F38" i="22"/>
  <c r="B38" i="22"/>
  <c r="B36" i="22"/>
  <c r="L14" i="15"/>
  <c r="L6" i="15"/>
  <c r="L13" i="22"/>
  <c r="L11" i="22"/>
  <c r="L9" i="22"/>
  <c r="L7" i="22"/>
  <c r="L5" i="22"/>
  <c r="E29" i="22"/>
  <c r="L14" i="22"/>
  <c r="L12" i="22"/>
  <c r="L10" i="22"/>
  <c r="L8" i="22"/>
  <c r="L6" i="22"/>
  <c r="B29" i="22"/>
  <c r="I14" i="22"/>
  <c r="I12" i="22"/>
  <c r="I10" i="22"/>
  <c r="I8" i="22"/>
  <c r="I6" i="22"/>
  <c r="I13" i="22"/>
  <c r="I5" i="22"/>
  <c r="I9" i="22"/>
  <c r="I11" i="22"/>
  <c r="I7" i="22"/>
  <c r="M25" i="22"/>
  <c r="M23" i="22"/>
  <c r="M21" i="22"/>
  <c r="M19" i="22"/>
  <c r="M17" i="22"/>
  <c r="M26" i="22"/>
  <c r="M24" i="22"/>
  <c r="M22" i="22"/>
  <c r="M20" i="22"/>
  <c r="M18" i="22"/>
  <c r="L26" i="22"/>
  <c r="L24" i="22"/>
  <c r="L22" i="22"/>
  <c r="L20" i="22"/>
  <c r="L18" i="22"/>
  <c r="L25" i="22"/>
  <c r="L23" i="22"/>
  <c r="L21" i="22"/>
  <c r="L19" i="22"/>
  <c r="L17" i="22"/>
  <c r="I25" i="22"/>
  <c r="I23" i="22"/>
  <c r="I21" i="22"/>
  <c r="I19" i="22"/>
  <c r="I17" i="22"/>
  <c r="I26" i="22"/>
  <c r="I24" i="22"/>
  <c r="I22" i="22"/>
  <c r="I18" i="22"/>
  <c r="I20" i="22"/>
  <c r="F29" i="22"/>
  <c r="M14" i="22"/>
  <c r="M12" i="22"/>
  <c r="M10" i="22"/>
  <c r="M8" i="22"/>
  <c r="M6" i="22"/>
  <c r="M11" i="22"/>
  <c r="M13" i="22"/>
  <c r="M9" i="22"/>
  <c r="M7" i="22"/>
  <c r="M5" i="22"/>
  <c r="L13" i="15"/>
  <c r="L11" i="15"/>
  <c r="L9" i="15"/>
  <c r="L7" i="15"/>
  <c r="L5" i="15"/>
  <c r="M23" i="15"/>
  <c r="M19" i="15"/>
  <c r="M26" i="15"/>
  <c r="M24" i="15"/>
  <c r="M22" i="15"/>
  <c r="M20" i="15"/>
  <c r="M18" i="15"/>
  <c r="M17" i="15"/>
  <c r="M25" i="15"/>
  <c r="M21" i="15"/>
  <c r="L25" i="15"/>
  <c r="L23" i="15"/>
  <c r="L21" i="15"/>
  <c r="L19" i="15"/>
  <c r="L17" i="15"/>
  <c r="L26" i="15"/>
  <c r="L24" i="15"/>
  <c r="L22" i="15"/>
  <c r="L20" i="15"/>
  <c r="L18" i="15"/>
  <c r="M14" i="15"/>
  <c r="M10" i="15"/>
  <c r="M13" i="15"/>
  <c r="M11" i="15"/>
  <c r="M9" i="15"/>
  <c r="M7" i="15"/>
  <c r="M5" i="15"/>
  <c r="M12" i="15"/>
  <c r="M6" i="15"/>
  <c r="M8" i="15"/>
  <c r="I23" i="15"/>
  <c r="I19" i="15"/>
  <c r="I26" i="15"/>
  <c r="I24" i="15"/>
  <c r="I22" i="15"/>
  <c r="I20" i="15"/>
  <c r="I18" i="15"/>
  <c r="I25" i="15"/>
  <c r="I17" i="15"/>
  <c r="I21" i="15"/>
  <c r="L12" i="15"/>
  <c r="L10" i="15"/>
  <c r="L8" i="15"/>
  <c r="I14" i="15"/>
  <c r="I10" i="15"/>
  <c r="I13" i="15"/>
  <c r="I11" i="15"/>
  <c r="I9" i="15"/>
  <c r="I7" i="15"/>
  <c r="I5" i="15"/>
  <c r="I12" i="15"/>
  <c r="I6" i="15"/>
  <c r="I8" i="15"/>
  <c r="L5" i="19"/>
  <c r="L14" i="14"/>
  <c r="I14" i="14"/>
  <c r="I8" i="14"/>
  <c r="I13" i="14"/>
  <c r="I11" i="14"/>
  <c r="I9" i="14"/>
  <c r="I7" i="14"/>
  <c r="I5" i="14"/>
  <c r="I10" i="14"/>
  <c r="I6" i="14"/>
  <c r="I12" i="14"/>
  <c r="M25" i="14"/>
  <c r="M19" i="14"/>
  <c r="M26" i="14"/>
  <c r="M24" i="14"/>
  <c r="M22" i="14"/>
  <c r="M20" i="14"/>
  <c r="M18" i="14"/>
  <c r="M21" i="14"/>
  <c r="M23" i="14"/>
  <c r="M17" i="14"/>
  <c r="L10" i="19"/>
  <c r="L9" i="19"/>
  <c r="I25" i="14"/>
  <c r="I19" i="14"/>
  <c r="I26" i="14"/>
  <c r="I24" i="14"/>
  <c r="I22" i="14"/>
  <c r="I20" i="14"/>
  <c r="I18" i="14"/>
  <c r="I21" i="14"/>
  <c r="I23" i="14"/>
  <c r="I17" i="14"/>
  <c r="L12" i="14"/>
  <c r="L10" i="14"/>
  <c r="L8" i="14"/>
  <c r="L6" i="14"/>
  <c r="L13" i="14"/>
  <c r="L11" i="14"/>
  <c r="L9" i="14"/>
  <c r="L7" i="14"/>
  <c r="L5" i="14"/>
  <c r="I13" i="19"/>
  <c r="M13" i="19"/>
  <c r="L12" i="19"/>
  <c r="L25" i="14"/>
  <c r="L23" i="14"/>
  <c r="L21" i="14"/>
  <c r="L19" i="14"/>
  <c r="L17" i="14"/>
  <c r="L26" i="14"/>
  <c r="L24" i="14"/>
  <c r="L22" i="14"/>
  <c r="L20" i="14"/>
  <c r="L18" i="14"/>
  <c r="M14" i="14"/>
  <c r="M8" i="14"/>
  <c r="M13" i="14"/>
  <c r="M11" i="14"/>
  <c r="M9" i="14"/>
  <c r="M7" i="14"/>
  <c r="M5" i="14"/>
  <c r="M10" i="14"/>
  <c r="M6" i="14"/>
  <c r="M12" i="14"/>
  <c r="L25" i="19"/>
  <c r="L23" i="19"/>
  <c r="L21" i="19"/>
  <c r="L19" i="19"/>
  <c r="L17" i="19"/>
  <c r="L26" i="19"/>
  <c r="L24" i="19"/>
  <c r="L22" i="19"/>
  <c r="L20" i="19"/>
  <c r="L18" i="19"/>
  <c r="M11" i="19"/>
  <c r="M9" i="19"/>
  <c r="M7" i="19"/>
  <c r="M5" i="19"/>
  <c r="I13" i="13"/>
  <c r="I21" i="19"/>
  <c r="I26" i="19"/>
  <c r="I24" i="19"/>
  <c r="I22" i="19"/>
  <c r="I20" i="19"/>
  <c r="I18" i="19"/>
  <c r="I23" i="19"/>
  <c r="I25" i="19"/>
  <c r="I19" i="19"/>
  <c r="I17" i="19"/>
  <c r="I11" i="19"/>
  <c r="I9" i="19"/>
  <c r="I7" i="19"/>
  <c r="I5" i="19"/>
  <c r="L7" i="19"/>
  <c r="L6" i="19"/>
  <c r="L14" i="19"/>
  <c r="L14" i="13"/>
  <c r="M25" i="19"/>
  <c r="M26" i="19"/>
  <c r="M24" i="19"/>
  <c r="M22" i="19"/>
  <c r="M20" i="19"/>
  <c r="M18" i="19"/>
  <c r="M23" i="19"/>
  <c r="M21" i="19"/>
  <c r="M17" i="19"/>
  <c r="M19" i="19"/>
  <c r="L11" i="13"/>
  <c r="M12" i="19"/>
  <c r="M10" i="19"/>
  <c r="M8" i="19"/>
  <c r="M6" i="19"/>
  <c r="M14" i="19"/>
  <c r="L11" i="19"/>
  <c r="L8" i="19"/>
  <c r="L8" i="13"/>
  <c r="I14" i="19"/>
  <c r="I12" i="19"/>
  <c r="I10" i="19"/>
  <c r="I8" i="19"/>
  <c r="I6" i="19"/>
  <c r="L13" i="19"/>
  <c r="M14" i="13"/>
  <c r="M12" i="13"/>
  <c r="M10" i="13"/>
  <c r="M8" i="13"/>
  <c r="M6" i="13"/>
  <c r="L13" i="13"/>
  <c r="M5" i="10"/>
  <c r="L14" i="10"/>
  <c r="I14" i="13"/>
  <c r="I12" i="13"/>
  <c r="I10" i="13"/>
  <c r="I8" i="13"/>
  <c r="I6" i="13"/>
  <c r="L25" i="13"/>
  <c r="L23" i="13"/>
  <c r="L21" i="13"/>
  <c r="L19" i="13"/>
  <c r="L17" i="13"/>
  <c r="L22" i="13"/>
  <c r="L20" i="13"/>
  <c r="L18" i="13"/>
  <c r="L26" i="13"/>
  <c r="L24" i="13"/>
  <c r="M11" i="13"/>
  <c r="M9" i="13"/>
  <c r="M7" i="13"/>
  <c r="M5" i="13"/>
  <c r="L7" i="13"/>
  <c r="L5" i="13"/>
  <c r="L12" i="13"/>
  <c r="I26" i="13"/>
  <c r="I24" i="13"/>
  <c r="I22" i="13"/>
  <c r="I20" i="13"/>
  <c r="I18" i="13"/>
  <c r="I25" i="13"/>
  <c r="I23" i="13"/>
  <c r="I21" i="13"/>
  <c r="I19" i="13"/>
  <c r="I17" i="13"/>
  <c r="M13" i="10"/>
  <c r="M13" i="13"/>
  <c r="L10" i="13"/>
  <c r="M26" i="13"/>
  <c r="M24" i="13"/>
  <c r="M22" i="13"/>
  <c r="M20" i="13"/>
  <c r="M18" i="13"/>
  <c r="M25" i="13"/>
  <c r="M23" i="13"/>
  <c r="M21" i="13"/>
  <c r="M19" i="13"/>
  <c r="M17" i="13"/>
  <c r="I11" i="13"/>
  <c r="I9" i="13"/>
  <c r="I7" i="13"/>
  <c r="I5" i="13"/>
  <c r="L9" i="13"/>
  <c r="L6" i="13"/>
  <c r="I14" i="10"/>
  <c r="I12" i="10"/>
  <c r="I10" i="10"/>
  <c r="I8" i="10"/>
  <c r="I6" i="10"/>
  <c r="L9" i="10"/>
  <c r="M25" i="10"/>
  <c r="M19" i="10"/>
  <c r="M17" i="10"/>
  <c r="M26" i="10"/>
  <c r="M24" i="10"/>
  <c r="M22" i="10"/>
  <c r="M20" i="10"/>
  <c r="M18" i="10"/>
  <c r="M23" i="10"/>
  <c r="M21" i="10"/>
  <c r="L11" i="10"/>
  <c r="I25" i="10"/>
  <c r="I19" i="10"/>
  <c r="I17" i="10"/>
  <c r="I26" i="10"/>
  <c r="I24" i="10"/>
  <c r="I22" i="10"/>
  <c r="I20" i="10"/>
  <c r="I18" i="10"/>
  <c r="I23" i="10"/>
  <c r="I21" i="10"/>
  <c r="I11" i="10"/>
  <c r="I9" i="10"/>
  <c r="I7" i="10"/>
  <c r="I5" i="10"/>
  <c r="L5" i="10"/>
  <c r="L13" i="10"/>
  <c r="L12" i="10"/>
  <c r="L8" i="10"/>
  <c r="L25" i="10"/>
  <c r="L23" i="10"/>
  <c r="L21" i="10"/>
  <c r="L19" i="10"/>
  <c r="L17" i="10"/>
  <c r="L22" i="10"/>
  <c r="L20" i="10"/>
  <c r="L18" i="10"/>
  <c r="L26" i="10"/>
  <c r="L24" i="10"/>
  <c r="M11" i="10"/>
  <c r="M9" i="10"/>
  <c r="M7" i="10"/>
  <c r="I13" i="10"/>
  <c r="L10" i="10"/>
  <c r="L6" i="20"/>
  <c r="M14" i="10"/>
  <c r="M12" i="10"/>
  <c r="M10" i="10"/>
  <c r="M8" i="10"/>
  <c r="M6" i="10"/>
  <c r="L7" i="10"/>
  <c r="L6" i="10"/>
  <c r="L12" i="20"/>
  <c r="L10" i="20"/>
  <c r="L8" i="20"/>
  <c r="L5" i="20"/>
  <c r="L5" i="12"/>
  <c r="I10" i="20"/>
  <c r="I13" i="20"/>
  <c r="I11" i="20"/>
  <c r="I9" i="20"/>
  <c r="I7" i="20"/>
  <c r="I5" i="20"/>
  <c r="I12" i="20"/>
  <c r="I6" i="20"/>
  <c r="I14" i="20"/>
  <c r="I8" i="20"/>
  <c r="L14" i="20"/>
  <c r="M13" i="12"/>
  <c r="I21" i="20"/>
  <c r="I26" i="20"/>
  <c r="I24" i="20"/>
  <c r="I22" i="20"/>
  <c r="I20" i="20"/>
  <c r="I18" i="20"/>
  <c r="I23" i="20"/>
  <c r="I17" i="20"/>
  <c r="I25" i="20"/>
  <c r="I19" i="20"/>
  <c r="L25" i="20"/>
  <c r="L23" i="20"/>
  <c r="L21" i="20"/>
  <c r="L19" i="20"/>
  <c r="L17" i="20"/>
  <c r="L26" i="20"/>
  <c r="L24" i="20"/>
  <c r="L22" i="20"/>
  <c r="L20" i="20"/>
  <c r="L18" i="20"/>
  <c r="M10" i="20"/>
  <c r="M13" i="20"/>
  <c r="M11" i="20"/>
  <c r="M9" i="20"/>
  <c r="M7" i="20"/>
  <c r="M5" i="20"/>
  <c r="M12" i="20"/>
  <c r="M6" i="20"/>
  <c r="M14" i="20"/>
  <c r="M8" i="20"/>
  <c r="E30" i="20"/>
  <c r="M23" i="20"/>
  <c r="M21" i="20"/>
  <c r="M26" i="20"/>
  <c r="M24" i="20"/>
  <c r="M22" i="20"/>
  <c r="M20" i="20"/>
  <c r="M18" i="20"/>
  <c r="M17" i="20"/>
  <c r="M25" i="20"/>
  <c r="M19" i="20"/>
  <c r="L13" i="20"/>
  <c r="L11" i="20"/>
  <c r="L9" i="20"/>
  <c r="L7" i="20"/>
  <c r="L5" i="18"/>
  <c r="L12" i="12"/>
  <c r="L10" i="12"/>
  <c r="L8" i="12"/>
  <c r="L6" i="12"/>
  <c r="I13" i="12"/>
  <c r="L14" i="18"/>
  <c r="L25" i="18"/>
  <c r="L23" i="18"/>
  <c r="L21" i="18"/>
  <c r="L19" i="18"/>
  <c r="L17" i="18"/>
  <c r="L26" i="18"/>
  <c r="L24" i="18"/>
  <c r="L22" i="18"/>
  <c r="L20" i="18"/>
  <c r="L18" i="18"/>
  <c r="L6" i="9"/>
  <c r="L14" i="12"/>
  <c r="I21" i="18"/>
  <c r="I17" i="18"/>
  <c r="I26" i="18"/>
  <c r="I24" i="18"/>
  <c r="I22" i="18"/>
  <c r="I20" i="18"/>
  <c r="I18" i="18"/>
  <c r="I19" i="18"/>
  <c r="I25" i="18"/>
  <c r="I23" i="18"/>
  <c r="L12" i="18"/>
  <c r="L10" i="18"/>
  <c r="L8" i="18"/>
  <c r="L6" i="18"/>
  <c r="M8" i="18"/>
  <c r="M13" i="18"/>
  <c r="M11" i="18"/>
  <c r="M9" i="18"/>
  <c r="M7" i="18"/>
  <c r="M5" i="18"/>
  <c r="M14" i="18"/>
  <c r="M10" i="18"/>
  <c r="M6" i="18"/>
  <c r="M12" i="18"/>
  <c r="M21" i="18"/>
  <c r="M17" i="18"/>
  <c r="M26" i="18"/>
  <c r="M24" i="18"/>
  <c r="M22" i="18"/>
  <c r="M20" i="18"/>
  <c r="M18" i="18"/>
  <c r="M19" i="18"/>
  <c r="M25" i="18"/>
  <c r="M23" i="18"/>
  <c r="L13" i="18"/>
  <c r="L11" i="18"/>
  <c r="L9" i="18"/>
  <c r="L7" i="18"/>
  <c r="I14" i="18"/>
  <c r="I8" i="18"/>
  <c r="I13" i="18"/>
  <c r="I11" i="18"/>
  <c r="I9" i="18"/>
  <c r="I7" i="18"/>
  <c r="I5" i="18"/>
  <c r="I10" i="18"/>
  <c r="I6" i="18"/>
  <c r="I12" i="18"/>
  <c r="I19" i="12"/>
  <c r="I26" i="12"/>
  <c r="I24" i="12"/>
  <c r="I22" i="12"/>
  <c r="I20" i="12"/>
  <c r="I18" i="12"/>
  <c r="I25" i="12"/>
  <c r="I21" i="12"/>
  <c r="I23" i="12"/>
  <c r="I17" i="12"/>
  <c r="L14" i="9"/>
  <c r="M14" i="12"/>
  <c r="M10" i="12"/>
  <c r="M8" i="12"/>
  <c r="M6" i="12"/>
  <c r="M12" i="12"/>
  <c r="M11" i="12"/>
  <c r="M9" i="12"/>
  <c r="M7" i="12"/>
  <c r="M5" i="12"/>
  <c r="L13" i="12"/>
  <c r="I14" i="12"/>
  <c r="I10" i="12"/>
  <c r="I8" i="12"/>
  <c r="I6" i="12"/>
  <c r="I12" i="12"/>
  <c r="I11" i="12"/>
  <c r="I9" i="12"/>
  <c r="I7" i="12"/>
  <c r="I5" i="12"/>
  <c r="L7" i="12"/>
  <c r="L25" i="12"/>
  <c r="L23" i="12"/>
  <c r="L21" i="12"/>
  <c r="L19" i="12"/>
  <c r="L17" i="12"/>
  <c r="L26" i="12"/>
  <c r="L24" i="12"/>
  <c r="L22" i="12"/>
  <c r="L20" i="12"/>
  <c r="L18" i="12"/>
  <c r="L11" i="12"/>
  <c r="L12" i="9"/>
  <c r="L10" i="9"/>
  <c r="L8" i="9"/>
  <c r="M19" i="12"/>
  <c r="M26" i="12"/>
  <c r="M24" i="12"/>
  <c r="M22" i="12"/>
  <c r="M20" i="12"/>
  <c r="M18" i="12"/>
  <c r="M25" i="12"/>
  <c r="M21" i="12"/>
  <c r="M23" i="12"/>
  <c r="M17" i="12"/>
  <c r="L9" i="12"/>
  <c r="I23" i="9"/>
  <c r="I19" i="9"/>
  <c r="I17" i="9"/>
  <c r="I26" i="9"/>
  <c r="I24" i="9"/>
  <c r="I22" i="9"/>
  <c r="I20" i="9"/>
  <c r="I18" i="9"/>
  <c r="I25" i="9"/>
  <c r="I21" i="9"/>
  <c r="I8" i="9"/>
  <c r="I13" i="9"/>
  <c r="I11" i="9"/>
  <c r="I9" i="9"/>
  <c r="I7" i="9"/>
  <c r="I5" i="9"/>
  <c r="I12" i="9"/>
  <c r="I6" i="9"/>
  <c r="I14" i="9"/>
  <c r="I10" i="9"/>
  <c r="L25" i="9"/>
  <c r="L23" i="9"/>
  <c r="L21" i="9"/>
  <c r="L19" i="9"/>
  <c r="L17" i="9"/>
  <c r="L26" i="9"/>
  <c r="L24" i="9"/>
  <c r="L22" i="9"/>
  <c r="L20" i="9"/>
  <c r="L18" i="9"/>
  <c r="L13" i="9"/>
  <c r="L11" i="9"/>
  <c r="L9" i="9"/>
  <c r="L7" i="9"/>
  <c r="L5" i="9"/>
  <c r="M23" i="9"/>
  <c r="M21" i="9"/>
  <c r="M19" i="9"/>
  <c r="M17" i="9"/>
  <c r="M26" i="9"/>
  <c r="M24" i="9"/>
  <c r="M22" i="9"/>
  <c r="M20" i="9"/>
  <c r="M18" i="9"/>
  <c r="M25" i="9"/>
  <c r="M8" i="9"/>
  <c r="M13" i="9"/>
  <c r="M11" i="9"/>
  <c r="M9" i="9"/>
  <c r="M7" i="9"/>
  <c r="M5" i="9"/>
  <c r="M12" i="9"/>
  <c r="M6" i="9"/>
  <c r="M14" i="9"/>
  <c r="M10" i="9"/>
  <c r="F33" i="21"/>
  <c r="E32" i="21"/>
  <c r="L14" i="21"/>
  <c r="L8" i="21"/>
  <c r="L13" i="21"/>
  <c r="L11" i="21"/>
  <c r="L9" i="21"/>
  <c r="L7" i="21"/>
  <c r="L5" i="21"/>
  <c r="L6" i="21"/>
  <c r="E29" i="21"/>
  <c r="L12" i="21"/>
  <c r="L10" i="21"/>
  <c r="B36" i="20"/>
  <c r="M13" i="21"/>
  <c r="M11" i="21"/>
  <c r="M9" i="21"/>
  <c r="M7" i="21"/>
  <c r="M5" i="21"/>
  <c r="F29" i="21"/>
  <c r="M14" i="21"/>
  <c r="M12" i="21"/>
  <c r="M10" i="21"/>
  <c r="M8" i="21"/>
  <c r="M6" i="21"/>
  <c r="L25" i="21"/>
  <c r="L23" i="21"/>
  <c r="L21" i="21"/>
  <c r="L19" i="21"/>
  <c r="L17" i="21"/>
  <c r="L18" i="21"/>
  <c r="L26" i="21"/>
  <c r="L24" i="21"/>
  <c r="L22" i="21"/>
  <c r="L20" i="21"/>
  <c r="M25" i="21"/>
  <c r="M23" i="21"/>
  <c r="M21" i="21"/>
  <c r="M19" i="21"/>
  <c r="M17" i="21"/>
  <c r="M26" i="21"/>
  <c r="M24" i="21"/>
  <c r="M22" i="21"/>
  <c r="M20" i="21"/>
  <c r="M18" i="21"/>
  <c r="I13" i="21"/>
  <c r="I11" i="21"/>
  <c r="I9" i="21"/>
  <c r="I7" i="21"/>
  <c r="I5" i="21"/>
  <c r="B29" i="21"/>
  <c r="I14" i="21"/>
  <c r="I12" i="21"/>
  <c r="I10" i="21"/>
  <c r="I8" i="21"/>
  <c r="I6" i="21"/>
  <c r="I25" i="21"/>
  <c r="I23" i="21"/>
  <c r="I21" i="21"/>
  <c r="I19" i="21"/>
  <c r="I17" i="21"/>
  <c r="I26" i="21"/>
  <c r="I24" i="21"/>
  <c r="I22" i="21"/>
  <c r="I20" i="21"/>
  <c r="I18" i="21"/>
  <c r="B32" i="20"/>
  <c r="B33" i="20"/>
  <c r="B34" i="20"/>
  <c r="B35" i="20"/>
  <c r="B37" i="20"/>
  <c r="B31" i="20"/>
  <c r="B30" i="20"/>
  <c r="B31" i="19"/>
  <c r="B30" i="19"/>
  <c r="B29" i="20"/>
  <c r="F29" i="20"/>
  <c r="E29" i="20"/>
  <c r="B33" i="19"/>
  <c r="B35" i="19"/>
  <c r="B36" i="19"/>
  <c r="B34" i="19"/>
  <c r="B38" i="19"/>
  <c r="B37" i="19"/>
  <c r="B32" i="19"/>
  <c r="B29" i="19"/>
  <c r="E29" i="19"/>
  <c r="F29" i="19"/>
  <c r="B34" i="18"/>
  <c r="B37" i="18"/>
  <c r="B36" i="18"/>
  <c r="B31" i="18"/>
  <c r="B32" i="18"/>
  <c r="B30" i="18"/>
  <c r="B33" i="18"/>
  <c r="B38" i="18"/>
  <c r="B35" i="18"/>
  <c r="E29" i="18"/>
  <c r="B29" i="18"/>
  <c r="F29" i="18"/>
  <c r="B13" i="8" l="1"/>
  <c r="B11" i="8"/>
  <c r="B12" i="8" l="1"/>
  <c r="B14" i="8"/>
  <c r="B8" i="8" l="1"/>
  <c r="B3" i="8"/>
  <c r="B4" i="8"/>
  <c r="B5" i="8"/>
  <c r="B7" i="8"/>
  <c r="B6" i="8"/>
  <c r="D26" i="14" l="1"/>
  <c r="D21" i="22"/>
  <c r="D22" i="22"/>
  <c r="D7" i="22"/>
  <c r="D31" i="22" s="1"/>
  <c r="D19" i="15"/>
  <c r="D12" i="19"/>
  <c r="D36" i="19" s="1"/>
  <c r="D6" i="19"/>
  <c r="D30" i="19" s="1"/>
  <c r="D10" i="14"/>
  <c r="D10" i="19"/>
  <c r="D34" i="19" s="1"/>
  <c r="D21" i="19"/>
  <c r="D12" i="10"/>
  <c r="D19" i="13"/>
  <c r="D18" i="13"/>
  <c r="D9" i="10"/>
  <c r="D24" i="10"/>
  <c r="D6" i="20"/>
  <c r="D14" i="20"/>
  <c r="D19" i="20"/>
  <c r="D12" i="18"/>
  <c r="D6" i="12"/>
  <c r="D18" i="18"/>
  <c r="D21" i="12"/>
  <c r="D18" i="12"/>
  <c r="D12" i="9"/>
  <c r="D9" i="9"/>
  <c r="D24" i="9"/>
  <c r="D18" i="21"/>
  <c r="D26" i="21"/>
  <c r="D12" i="14"/>
  <c r="D7" i="14"/>
  <c r="D22" i="14"/>
  <c r="D7" i="19"/>
  <c r="D31" i="19" s="1"/>
  <c r="D22" i="19"/>
  <c r="D6" i="9"/>
  <c r="D19" i="9"/>
  <c r="D10" i="21"/>
  <c r="D34" i="21" s="1"/>
  <c r="D26" i="9"/>
  <c r="D10" i="22"/>
  <c r="D34" i="22" s="1"/>
  <c r="D24" i="22"/>
  <c r="D9" i="22"/>
  <c r="D33" i="22" s="1"/>
  <c r="D12" i="15"/>
  <c r="D21" i="14"/>
  <c r="D18" i="14"/>
  <c r="D14" i="13"/>
  <c r="D14" i="19"/>
  <c r="D19" i="19"/>
  <c r="D10" i="13"/>
  <c r="D18" i="19"/>
  <c r="D6" i="10"/>
  <c r="D9" i="13"/>
  <c r="D24" i="13"/>
  <c r="D7" i="10"/>
  <c r="D22" i="10"/>
  <c r="D12" i="20"/>
  <c r="D18" i="20"/>
  <c r="D10" i="12"/>
  <c r="D10" i="18"/>
  <c r="D9" i="18"/>
  <c r="D33" i="18" s="1"/>
  <c r="D24" i="18"/>
  <c r="D19" i="12"/>
  <c r="D9" i="12"/>
  <c r="D24" i="12"/>
  <c r="D7" i="9"/>
  <c r="D6" i="21"/>
  <c r="D30" i="21" s="1"/>
  <c r="D14" i="21"/>
  <c r="D38" i="21" s="1"/>
  <c r="D24" i="21"/>
  <c r="D26" i="19"/>
  <c r="D6" i="22"/>
  <c r="D30" i="22" s="1"/>
  <c r="D7" i="15"/>
  <c r="D6" i="13"/>
  <c r="D21" i="10"/>
  <c r="D21" i="20"/>
  <c r="D22" i="20"/>
  <c r="D14" i="18"/>
  <c r="D19" i="18"/>
  <c r="D14" i="9"/>
  <c r="D18" i="9"/>
  <c r="D26" i="18"/>
  <c r="D26" i="13"/>
  <c r="D25" i="22"/>
  <c r="D12" i="22"/>
  <c r="D36" i="22" s="1"/>
  <c r="D26" i="22"/>
  <c r="D18" i="22"/>
  <c r="D10" i="15"/>
  <c r="D24" i="15"/>
  <c r="D21" i="13"/>
  <c r="D6" i="14"/>
  <c r="D14" i="14"/>
  <c r="D19" i="14"/>
  <c r="D12" i="13"/>
  <c r="D9" i="14"/>
  <c r="D24" i="14"/>
  <c r="D9" i="19"/>
  <c r="D33" i="19" s="1"/>
  <c r="D24" i="19"/>
  <c r="D10" i="10"/>
  <c r="D14" i="10"/>
  <c r="D7" i="13"/>
  <c r="D22" i="13"/>
  <c r="D26" i="20"/>
  <c r="D10" i="20"/>
  <c r="D9" i="20"/>
  <c r="D24" i="20"/>
  <c r="D21" i="18"/>
  <c r="D7" i="18"/>
  <c r="D22" i="18"/>
  <c r="D12" i="12"/>
  <c r="D7" i="12"/>
  <c r="D22" i="12"/>
  <c r="D21" i="9"/>
  <c r="D9" i="21"/>
  <c r="D33" i="21" s="1"/>
  <c r="D21" i="21"/>
  <c r="D12" i="21"/>
  <c r="D36" i="21" s="1"/>
  <c r="D22" i="21"/>
  <c r="D19" i="22"/>
  <c r="D14" i="22"/>
  <c r="D13" i="22"/>
  <c r="D37" i="22" s="1"/>
  <c r="D22" i="15"/>
  <c r="D26" i="10"/>
  <c r="D19" i="10"/>
  <c r="D18" i="10"/>
  <c r="D7" i="20"/>
  <c r="D31" i="20" s="1"/>
  <c r="D6" i="18"/>
  <c r="D20" i="18"/>
  <c r="D11" i="13"/>
  <c r="D17" i="9"/>
  <c r="D38" i="22" l="1"/>
  <c r="D31" i="18"/>
  <c r="D30" i="18"/>
  <c r="D34" i="20"/>
  <c r="D33" i="20"/>
  <c r="D30" i="20"/>
  <c r="D36" i="18"/>
  <c r="D38" i="18"/>
  <c r="D36" i="20"/>
  <c r="D34" i="18"/>
  <c r="D38" i="19"/>
  <c r="D38" i="20"/>
  <c r="D20" i="21"/>
  <c r="D13" i="12"/>
  <c r="D5" i="9"/>
  <c r="D20" i="10"/>
  <c r="D25" i="19"/>
  <c r="D20" i="13"/>
  <c r="D25" i="14"/>
  <c r="D17" i="20"/>
  <c r="D25" i="15"/>
  <c r="D11" i="10"/>
  <c r="D17" i="18"/>
  <c r="D5" i="20"/>
  <c r="D20" i="19"/>
  <c r="D13" i="14"/>
  <c r="D23" i="14"/>
  <c r="D13" i="15"/>
  <c r="D8" i="22"/>
  <c r="D32" i="22" s="1"/>
  <c r="D11" i="21"/>
  <c r="D35" i="21" s="1"/>
  <c r="D5" i="12"/>
  <c r="D5" i="22"/>
  <c r="D25" i="12"/>
  <c r="D17" i="19"/>
  <c r="D11" i="22"/>
  <c r="D35" i="22" s="1"/>
  <c r="D17" i="22"/>
  <c r="D17" i="14"/>
  <c r="D5" i="21"/>
  <c r="D11" i="19"/>
  <c r="D35" i="19" s="1"/>
  <c r="D8" i="14"/>
  <c r="D17" i="15"/>
  <c r="D23" i="12"/>
  <c r="D5" i="13"/>
  <c r="D23" i="13"/>
  <c r="D8" i="21"/>
  <c r="D32" i="21" s="1"/>
  <c r="D11" i="18"/>
  <c r="D13" i="19"/>
  <c r="D37" i="19" s="1"/>
  <c r="D8" i="13"/>
  <c r="D5" i="14"/>
  <c r="D5" i="15"/>
  <c r="D20" i="9"/>
  <c r="D8" i="9"/>
  <c r="D17" i="12"/>
  <c r="D23" i="20"/>
  <c r="D5" i="10"/>
  <c r="D23" i="19"/>
  <c r="D17" i="21"/>
  <c r="D23" i="9"/>
  <c r="D23" i="18"/>
  <c r="D11" i="20"/>
  <c r="D8" i="10"/>
  <c r="D23" i="22"/>
  <c r="D11" i="9"/>
  <c r="D8" i="12"/>
  <c r="D23" i="10"/>
  <c r="D13" i="21"/>
  <c r="D37" i="21" s="1"/>
  <c r="D25" i="9"/>
  <c r="D11" i="12"/>
  <c r="D20" i="20"/>
  <c r="D5" i="19"/>
  <c r="D23" i="21"/>
  <c r="D20" i="12"/>
  <c r="D13" i="18"/>
  <c r="D13" i="9"/>
  <c r="D8" i="18"/>
  <c r="D32" i="18" s="1"/>
  <c r="D17" i="10"/>
  <c r="D5" i="18"/>
  <c r="D20" i="22"/>
  <c r="D25" i="20"/>
  <c r="D11" i="14"/>
  <c r="D8" i="20"/>
  <c r="D17" i="13"/>
  <c r="D25" i="21"/>
  <c r="D25" i="18"/>
  <c r="D13" i="20"/>
  <c r="D20" i="14"/>
  <c r="D8" i="19"/>
  <c r="D32" i="19" s="1"/>
  <c r="D20" i="15"/>
  <c r="D13" i="13"/>
  <c r="D32" i="20" l="1"/>
  <c r="D35" i="20"/>
  <c r="D37" i="20"/>
  <c r="D37" i="18"/>
  <c r="D35" i="18"/>
  <c r="D25" i="13"/>
  <c r="K25" i="13" s="1"/>
  <c r="D29" i="21"/>
  <c r="K25" i="19"/>
  <c r="K17" i="19"/>
  <c r="K24" i="19"/>
  <c r="K23" i="19"/>
  <c r="K26" i="19"/>
  <c r="K20" i="19"/>
  <c r="K22" i="19"/>
  <c r="K21" i="19"/>
  <c r="K18" i="19"/>
  <c r="K19" i="19"/>
  <c r="K24" i="18"/>
  <c r="K19" i="18"/>
  <c r="K20" i="18"/>
  <c r="K25" i="18"/>
  <c r="K17" i="18"/>
  <c r="K18" i="18"/>
  <c r="K23" i="18"/>
  <c r="K22" i="18"/>
  <c r="K26" i="18"/>
  <c r="K21" i="18"/>
  <c r="D26" i="15"/>
  <c r="D14" i="15"/>
  <c r="D26" i="12"/>
  <c r="K23" i="12" s="1"/>
  <c r="D14" i="12"/>
  <c r="K8" i="12" s="1"/>
  <c r="D18" i="15"/>
  <c r="D6" i="15"/>
  <c r="D13" i="10"/>
  <c r="K8" i="10" s="1"/>
  <c r="D25" i="10"/>
  <c r="K25" i="10" s="1"/>
  <c r="D19" i="21"/>
  <c r="K21" i="21" s="1"/>
  <c r="D7" i="21"/>
  <c r="D11" i="15"/>
  <c r="D23" i="15"/>
  <c r="K13" i="14"/>
  <c r="K12" i="14"/>
  <c r="K7" i="14"/>
  <c r="K11" i="14"/>
  <c r="K10" i="14"/>
  <c r="K9" i="14"/>
  <c r="K14" i="14"/>
  <c r="K5" i="14"/>
  <c r="K8" i="14"/>
  <c r="K6" i="14"/>
  <c r="K26" i="14"/>
  <c r="K21" i="14"/>
  <c r="K24" i="14"/>
  <c r="K22" i="14"/>
  <c r="K19" i="14"/>
  <c r="K20" i="14"/>
  <c r="K25" i="14"/>
  <c r="K17" i="14"/>
  <c r="K23" i="14"/>
  <c r="K18" i="14"/>
  <c r="D8" i="15"/>
  <c r="D29" i="18"/>
  <c r="K12" i="18"/>
  <c r="K7" i="18"/>
  <c r="K11" i="18"/>
  <c r="K10" i="18"/>
  <c r="K13" i="18"/>
  <c r="K5" i="18"/>
  <c r="K8" i="18"/>
  <c r="K9" i="18"/>
  <c r="K14" i="18"/>
  <c r="K6" i="18"/>
  <c r="K22" i="22"/>
  <c r="K23" i="22"/>
  <c r="K20" i="22"/>
  <c r="K17" i="22"/>
  <c r="K24" i="22"/>
  <c r="K26" i="22"/>
  <c r="K18" i="22"/>
  <c r="K19" i="22"/>
  <c r="K25" i="22"/>
  <c r="K21" i="22"/>
  <c r="K7" i="22"/>
  <c r="K10" i="22"/>
  <c r="K13" i="22"/>
  <c r="K5" i="22"/>
  <c r="K14" i="22"/>
  <c r="K11" i="22"/>
  <c r="D29" i="22"/>
  <c r="K6" i="22"/>
  <c r="K9" i="22"/>
  <c r="K8" i="22"/>
  <c r="K12" i="22"/>
  <c r="D21" i="15"/>
  <c r="D9" i="15"/>
  <c r="D10" i="9"/>
  <c r="K6" i="9" s="1"/>
  <c r="D22" i="9"/>
  <c r="K25" i="9" s="1"/>
  <c r="K14" i="19"/>
  <c r="K6" i="19"/>
  <c r="K7" i="19"/>
  <c r="K12" i="19"/>
  <c r="K13" i="19"/>
  <c r="K5" i="19"/>
  <c r="K8" i="19"/>
  <c r="K10" i="19"/>
  <c r="K11" i="19"/>
  <c r="D29" i="19"/>
  <c r="K9" i="19"/>
  <c r="K8" i="13"/>
  <c r="K9" i="13"/>
  <c r="K14" i="13"/>
  <c r="K6" i="13"/>
  <c r="K7" i="13"/>
  <c r="K12" i="13"/>
  <c r="K13" i="13"/>
  <c r="K5" i="13"/>
  <c r="K10" i="13"/>
  <c r="K11" i="13"/>
  <c r="D29" i="20"/>
  <c r="K13" i="20"/>
  <c r="K10" i="20"/>
  <c r="K11" i="20"/>
  <c r="K7" i="20"/>
  <c r="K8" i="20"/>
  <c r="K5" i="20"/>
  <c r="K14" i="20"/>
  <c r="K6" i="20"/>
  <c r="K12" i="20"/>
  <c r="K9" i="20"/>
  <c r="K21" i="20"/>
  <c r="K20" i="20"/>
  <c r="K18" i="20"/>
  <c r="K19" i="20"/>
  <c r="K26" i="20"/>
  <c r="K25" i="20"/>
  <c r="K17" i="20"/>
  <c r="K22" i="20"/>
  <c r="K23" i="20"/>
  <c r="K24" i="20"/>
  <c r="K11" i="12" l="1"/>
  <c r="K6" i="10"/>
  <c r="K21" i="10"/>
  <c r="K20" i="12"/>
  <c r="K13" i="10"/>
  <c r="K26" i="13"/>
  <c r="K19" i="13"/>
  <c r="K22" i="12"/>
  <c r="K26" i="10"/>
  <c r="K20" i="10"/>
  <c r="K12" i="12"/>
  <c r="K23" i="15"/>
  <c r="D31" i="21"/>
  <c r="K5" i="15"/>
  <c r="K20" i="9"/>
  <c r="K22" i="10"/>
  <c r="K17" i="10"/>
  <c r="K24" i="10"/>
  <c r="K20" i="15"/>
  <c r="K19" i="10"/>
  <c r="K23" i="10"/>
  <c r="K19" i="21"/>
  <c r="K19" i="15"/>
  <c r="K18" i="10"/>
  <c r="K22" i="21"/>
  <c r="K24" i="15"/>
  <c r="K21" i="15"/>
  <c r="K23" i="21"/>
  <c r="K26" i="21"/>
  <c r="K25" i="15"/>
  <c r="K24" i="21"/>
  <c r="K20" i="21"/>
  <c r="K18" i="21"/>
  <c r="K17" i="21"/>
  <c r="K25" i="21"/>
  <c r="K10" i="9"/>
  <c r="K5" i="12"/>
  <c r="K13" i="12"/>
  <c r="K9" i="12"/>
  <c r="K11" i="10"/>
  <c r="K14" i="10"/>
  <c r="K9" i="10"/>
  <c r="K17" i="13"/>
  <c r="K22" i="13"/>
  <c r="K9" i="9"/>
  <c r="K14" i="12"/>
  <c r="K7" i="12"/>
  <c r="K10" i="12"/>
  <c r="K12" i="10"/>
  <c r="K7" i="10"/>
  <c r="K10" i="10"/>
  <c r="K24" i="13"/>
  <c r="K21" i="13"/>
  <c r="K23" i="13"/>
  <c r="K14" i="9"/>
  <c r="K6" i="12"/>
  <c r="K5" i="10"/>
  <c r="K18" i="13"/>
  <c r="K20" i="13"/>
  <c r="K9" i="21"/>
  <c r="K13" i="21"/>
  <c r="K11" i="15"/>
  <c r="K6" i="15"/>
  <c r="K18" i="15"/>
  <c r="K26" i="15"/>
  <c r="K22" i="15"/>
  <c r="K21" i="12"/>
  <c r="K24" i="12"/>
  <c r="K17" i="12"/>
  <c r="K7" i="9"/>
  <c r="K12" i="9"/>
  <c r="K12" i="21"/>
  <c r="K6" i="21"/>
  <c r="K8" i="21"/>
  <c r="K13" i="15"/>
  <c r="K9" i="15"/>
  <c r="K14" i="15"/>
  <c r="K24" i="9"/>
  <c r="K19" i="9"/>
  <c r="K7" i="15"/>
  <c r="K22" i="9"/>
  <c r="K18" i="12"/>
  <c r="K26" i="12"/>
  <c r="K25" i="12"/>
  <c r="K13" i="9"/>
  <c r="K5" i="9"/>
  <c r="K10" i="21"/>
  <c r="K5" i="21"/>
  <c r="K7" i="21"/>
  <c r="K10" i="15"/>
  <c r="K12" i="15"/>
  <c r="K26" i="9"/>
  <c r="K18" i="9"/>
  <c r="K17" i="9"/>
  <c r="K21" i="9"/>
  <c r="K17" i="15"/>
  <c r="K19" i="12"/>
  <c r="K11" i="9"/>
  <c r="K8" i="9"/>
  <c r="K14" i="21"/>
  <c r="K11" i="21"/>
  <c r="K8" i="15"/>
  <c r="K23" i="9"/>
  <c r="C6" i="10" l="1"/>
  <c r="C6" i="18"/>
  <c r="C30" i="18" s="1"/>
  <c r="C18" i="18"/>
  <c r="C18" i="20"/>
  <c r="C18" i="21"/>
  <c r="C6" i="22"/>
  <c r="C30" i="22" s="1"/>
  <c r="C18" i="14"/>
  <c r="C18" i="19"/>
  <c r="C18" i="10"/>
  <c r="C18" i="22"/>
  <c r="C6" i="19"/>
  <c r="C30" i="19" s="1"/>
  <c r="C18" i="9"/>
  <c r="C18" i="15"/>
  <c r="C18" i="12"/>
  <c r="C6" i="21"/>
  <c r="C6" i="13"/>
  <c r="C6" i="15"/>
  <c r="C6" i="12"/>
  <c r="C6" i="9"/>
  <c r="C6" i="14"/>
  <c r="C6" i="20"/>
  <c r="C30" i="20" s="1"/>
  <c r="C18" i="13"/>
  <c r="C17" i="20"/>
  <c r="C17" i="9"/>
  <c r="C17" i="18"/>
  <c r="C5" i="14"/>
  <c r="C5" i="19"/>
  <c r="C17" i="10"/>
  <c r="C5" i="10"/>
  <c r="C5" i="13"/>
  <c r="C5" i="20"/>
  <c r="C5" i="9"/>
  <c r="C5" i="18"/>
  <c r="C17" i="22"/>
  <c r="C17" i="14"/>
  <c r="C5" i="21"/>
  <c r="C17" i="21"/>
  <c r="C17" i="12"/>
  <c r="C17" i="15"/>
  <c r="C5" i="12"/>
  <c r="C5" i="15"/>
  <c r="C17" i="13"/>
  <c r="C17" i="19"/>
  <c r="C5" i="22"/>
  <c r="C30" i="21" l="1"/>
  <c r="C25" i="18"/>
  <c r="C22" i="22"/>
  <c r="C10" i="19"/>
  <c r="C10" i="9"/>
  <c r="C10" i="12"/>
  <c r="C10" i="18"/>
  <c r="C22" i="18"/>
  <c r="C10" i="22"/>
  <c r="C34" i="22" s="1"/>
  <c r="C10" i="13"/>
  <c r="C22" i="9"/>
  <c r="C22" i="14"/>
  <c r="C22" i="19"/>
  <c r="C22" i="10"/>
  <c r="C10" i="14"/>
  <c r="C22" i="13"/>
  <c r="C22" i="20"/>
  <c r="C22" i="15"/>
  <c r="C22" i="12"/>
  <c r="C10" i="20"/>
  <c r="C10" i="10"/>
  <c r="C10" i="21"/>
  <c r="C34" i="21" s="1"/>
  <c r="C10" i="15"/>
  <c r="C22" i="21"/>
  <c r="C8" i="15"/>
  <c r="C8" i="12"/>
  <c r="C8" i="18"/>
  <c r="C20" i="9"/>
  <c r="C20" i="14"/>
  <c r="C8" i="21"/>
  <c r="C32" i="21" s="1"/>
  <c r="C8" i="14"/>
  <c r="C8" i="22"/>
  <c r="C32" i="22" s="1"/>
  <c r="C20" i="13"/>
  <c r="C20" i="21"/>
  <c r="C20" i="15"/>
  <c r="C8" i="13"/>
  <c r="C8" i="20"/>
  <c r="C20" i="18"/>
  <c r="C20" i="22"/>
  <c r="C20" i="20"/>
  <c r="C8" i="10"/>
  <c r="C8" i="19"/>
  <c r="C20" i="12"/>
  <c r="C20" i="19"/>
  <c r="C20" i="10"/>
  <c r="C8" i="9"/>
  <c r="C29" i="22"/>
  <c r="C29" i="21"/>
  <c r="C11" i="14"/>
  <c r="C11" i="15"/>
  <c r="C23" i="22"/>
  <c r="C11" i="22"/>
  <c r="C35" i="22" s="1"/>
  <c r="C23" i="14"/>
  <c r="C25" i="9"/>
  <c r="C13" i="20"/>
  <c r="C13" i="10"/>
  <c r="C25" i="14"/>
  <c r="C25" i="12"/>
  <c r="C25" i="21"/>
  <c r="C26" i="13"/>
  <c r="C26" i="9"/>
  <c r="C26" i="22"/>
  <c r="C14" i="15"/>
  <c r="C14" i="10"/>
  <c r="C19" i="9"/>
  <c r="C19" i="22"/>
  <c r="C19" i="21"/>
  <c r="C7" i="14"/>
  <c r="C7" i="20"/>
  <c r="C29" i="20"/>
  <c r="C29" i="19"/>
  <c r="C11" i="20"/>
  <c r="C23" i="15"/>
  <c r="C23" i="19"/>
  <c r="C23" i="10"/>
  <c r="C23" i="9"/>
  <c r="C25" i="22"/>
  <c r="C13" i="13"/>
  <c r="C13" i="19"/>
  <c r="C25" i="10"/>
  <c r="C25" i="15"/>
  <c r="C25" i="13"/>
  <c r="C26" i="10"/>
  <c r="C14" i="13"/>
  <c r="C14" i="9"/>
  <c r="C14" i="14"/>
  <c r="C26" i="12"/>
  <c r="C19" i="20"/>
  <c r="C19" i="13"/>
  <c r="C7" i="15"/>
  <c r="C19" i="14"/>
  <c r="C7" i="13"/>
  <c r="C23" i="21"/>
  <c r="C11" i="18"/>
  <c r="C11" i="12"/>
  <c r="C11" i="21"/>
  <c r="C35" i="21" s="1"/>
  <c r="C23" i="18"/>
  <c r="C23" i="13"/>
  <c r="C13" i="22"/>
  <c r="C37" i="22" s="1"/>
  <c r="C25" i="19"/>
  <c r="C13" i="14"/>
  <c r="C13" i="15"/>
  <c r="C13" i="21"/>
  <c r="C37" i="21" s="1"/>
  <c r="C26" i="20"/>
  <c r="C26" i="19"/>
  <c r="C26" i="18"/>
  <c r="C14" i="12"/>
  <c r="C14" i="21"/>
  <c r="C14" i="20"/>
  <c r="C7" i="9"/>
  <c r="C7" i="22"/>
  <c r="C31" i="22" s="1"/>
  <c r="C7" i="19"/>
  <c r="C19" i="10"/>
  <c r="C19" i="12"/>
  <c r="C7" i="10"/>
  <c r="C9" i="12"/>
  <c r="C9" i="15"/>
  <c r="C21" i="22"/>
  <c r="C21" i="19"/>
  <c r="C9" i="22"/>
  <c r="C33" i="22" s="1"/>
  <c r="C21" i="9"/>
  <c r="C9" i="14"/>
  <c r="C9" i="19"/>
  <c r="C9" i="10"/>
  <c r="C21" i="13"/>
  <c r="C21" i="15"/>
  <c r="C9" i="21"/>
  <c r="C33" i="21" s="1"/>
  <c r="C9" i="13"/>
  <c r="C9" i="20"/>
  <c r="C9" i="9"/>
  <c r="C21" i="18"/>
  <c r="C9" i="18"/>
  <c r="C21" i="10"/>
  <c r="C21" i="21"/>
  <c r="C21" i="20"/>
  <c r="C21" i="12"/>
  <c r="C21" i="14"/>
  <c r="C12" i="12"/>
  <c r="C12" i="22"/>
  <c r="C36" i="22" s="1"/>
  <c r="C12" i="15"/>
  <c r="C24" i="19"/>
  <c r="C24" i="10"/>
  <c r="C24" i="12"/>
  <c r="C12" i="13"/>
  <c r="C12" i="18"/>
  <c r="C24" i="9"/>
  <c r="C24" i="14"/>
  <c r="C12" i="9"/>
  <c r="C12" i="20"/>
  <c r="C24" i="13"/>
  <c r="C24" i="21"/>
  <c r="C24" i="15"/>
  <c r="C24" i="18"/>
  <c r="C12" i="21"/>
  <c r="C36" i="21" s="1"/>
  <c r="C12" i="14"/>
  <c r="C12" i="19"/>
  <c r="C24" i="20"/>
  <c r="C24" i="22"/>
  <c r="C12" i="10"/>
  <c r="C29" i="18"/>
  <c r="C11" i="10"/>
  <c r="C11" i="19"/>
  <c r="C11" i="13"/>
  <c r="C23" i="12"/>
  <c r="C11" i="9"/>
  <c r="C23" i="20"/>
  <c r="C13" i="9"/>
  <c r="C25" i="20"/>
  <c r="C13" i="18"/>
  <c r="C13" i="12"/>
  <c r="C14" i="22"/>
  <c r="C26" i="14"/>
  <c r="C14" i="19"/>
  <c r="C26" i="21"/>
  <c r="C14" i="18"/>
  <c r="C26" i="15"/>
  <c r="C19" i="19"/>
  <c r="C19" i="18"/>
  <c r="C19" i="15"/>
  <c r="C7" i="18"/>
  <c r="C7" i="12"/>
  <c r="C7" i="21"/>
  <c r="C31" i="21" s="1"/>
  <c r="C38" i="22" l="1"/>
  <c r="C33" i="19"/>
  <c r="C37" i="18"/>
  <c r="C31" i="18"/>
  <c r="C38" i="20"/>
  <c r="C34" i="20"/>
  <c r="C35" i="18"/>
  <c r="C37" i="19"/>
  <c r="C34" i="19"/>
  <c r="C33" i="20"/>
  <c r="C35" i="19"/>
  <c r="C38" i="19"/>
  <c r="C38" i="18"/>
  <c r="C36" i="20"/>
  <c r="C36" i="18"/>
  <c r="C37" i="20"/>
  <c r="C32" i="18"/>
  <c r="C34" i="18"/>
  <c r="C36" i="19"/>
  <c r="C33" i="18"/>
  <c r="C31" i="19"/>
  <c r="C32" i="19"/>
  <c r="C35" i="20"/>
  <c r="C31" i="20"/>
  <c r="C32" i="20"/>
  <c r="C38" i="21"/>
  <c r="J8" i="15"/>
  <c r="J14" i="15"/>
  <c r="J5" i="15"/>
  <c r="J20" i="21"/>
  <c r="J10" i="15"/>
  <c r="J19" i="21"/>
  <c r="J22" i="18"/>
  <c r="J7" i="15"/>
  <c r="J11" i="15"/>
  <c r="J13" i="15"/>
  <c r="J11" i="12"/>
  <c r="J25" i="19"/>
  <c r="J10" i="10"/>
  <c r="J9" i="15"/>
  <c r="J12" i="15"/>
  <c r="J6" i="15"/>
  <c r="J23" i="20"/>
  <c r="J25" i="9"/>
  <c r="J25" i="21"/>
  <c r="J7" i="14"/>
  <c r="J21" i="22"/>
  <c r="J21" i="12"/>
  <c r="J9" i="9"/>
  <c r="J22" i="14"/>
  <c r="J17" i="18"/>
  <c r="J24" i="21"/>
  <c r="J18" i="13"/>
  <c r="J22" i="10"/>
  <c r="J17" i="15"/>
  <c r="J19" i="18"/>
  <c r="J5" i="13"/>
  <c r="J12" i="10"/>
  <c r="J8" i="10"/>
  <c r="J7" i="10"/>
  <c r="J9" i="18"/>
  <c r="J11" i="14"/>
  <c r="J13" i="14"/>
  <c r="J7" i="13"/>
  <c r="J6" i="13"/>
  <c r="J13" i="13"/>
  <c r="J19" i="22"/>
  <c r="J18" i="22"/>
  <c r="J23" i="12"/>
  <c r="J24" i="12"/>
  <c r="J20" i="12"/>
  <c r="J24" i="13"/>
  <c r="J21" i="13"/>
  <c r="J24" i="20"/>
  <c r="J20" i="20"/>
  <c r="J7" i="19"/>
  <c r="J6" i="19"/>
  <c r="J5" i="19"/>
  <c r="J7" i="20"/>
  <c r="J14" i="20"/>
  <c r="J13" i="20"/>
  <c r="J18" i="14"/>
  <c r="J26" i="14"/>
  <c r="J19" i="15"/>
  <c r="J23" i="15"/>
  <c r="J25" i="15"/>
  <c r="J18" i="19"/>
  <c r="J23" i="19"/>
  <c r="J21" i="9"/>
  <c r="J22" i="9"/>
  <c r="J25" i="10"/>
  <c r="J26" i="10"/>
  <c r="J21" i="10"/>
  <c r="J8" i="9"/>
  <c r="J6" i="9"/>
  <c r="J9" i="21"/>
  <c r="J8" i="21"/>
  <c r="J11" i="21"/>
  <c r="J12" i="12"/>
  <c r="J9" i="12"/>
  <c r="J14" i="22"/>
  <c r="J5" i="22"/>
  <c r="J18" i="18"/>
  <c r="J26" i="18"/>
  <c r="J24" i="18"/>
  <c r="J14" i="10"/>
  <c r="J5" i="10"/>
  <c r="J7" i="18"/>
  <c r="J14" i="18"/>
  <c r="J8" i="18"/>
  <c r="J17" i="21"/>
  <c r="J18" i="21"/>
  <c r="J21" i="21"/>
  <c r="J8" i="14"/>
  <c r="J5" i="14"/>
  <c r="J12" i="14"/>
  <c r="J9" i="13"/>
  <c r="J11" i="13"/>
  <c r="J25" i="22"/>
  <c r="J24" i="22"/>
  <c r="J26" i="22"/>
  <c r="J22" i="12"/>
  <c r="J19" i="12"/>
  <c r="J20" i="13"/>
  <c r="J23" i="13"/>
  <c r="J17" i="13"/>
  <c r="J19" i="20"/>
  <c r="J22" i="20"/>
  <c r="J17" i="20"/>
  <c r="J10" i="19"/>
  <c r="J11" i="19"/>
  <c r="J13" i="19"/>
  <c r="J12" i="20"/>
  <c r="J11" i="20"/>
  <c r="J23" i="14"/>
  <c r="J17" i="14"/>
  <c r="J19" i="14"/>
  <c r="J20" i="15"/>
  <c r="J26" i="15"/>
  <c r="J17" i="19"/>
  <c r="J24" i="19"/>
  <c r="J20" i="19"/>
  <c r="J26" i="9"/>
  <c r="J18" i="9"/>
  <c r="J19" i="9"/>
  <c r="J18" i="10"/>
  <c r="J17" i="10"/>
  <c r="J7" i="9"/>
  <c r="J13" i="9"/>
  <c r="J14" i="9"/>
  <c r="J14" i="21"/>
  <c r="J10" i="21"/>
  <c r="J12" i="21"/>
  <c r="J14" i="12"/>
  <c r="J10" i="12"/>
  <c r="J6" i="22"/>
  <c r="J11" i="22"/>
  <c r="J13" i="22"/>
  <c r="J25" i="18"/>
  <c r="J23" i="18"/>
  <c r="J21" i="18"/>
  <c r="J6" i="10"/>
  <c r="J13" i="10"/>
  <c r="J10" i="18"/>
  <c r="J6" i="18"/>
  <c r="J5" i="18"/>
  <c r="J22" i="21"/>
  <c r="J26" i="21"/>
  <c r="J14" i="14"/>
  <c r="J10" i="14"/>
  <c r="J9" i="14"/>
  <c r="J12" i="13"/>
  <c r="J8" i="13"/>
  <c r="J20" i="22"/>
  <c r="J22" i="22"/>
  <c r="J23" i="22"/>
  <c r="J17" i="12"/>
  <c r="J26" i="12"/>
  <c r="J19" i="13"/>
  <c r="J26" i="13"/>
  <c r="J25" i="13"/>
  <c r="J21" i="20"/>
  <c r="J26" i="20"/>
  <c r="J25" i="20"/>
  <c r="J8" i="19"/>
  <c r="J10" i="20"/>
  <c r="J9" i="20"/>
  <c r="J8" i="20"/>
  <c r="J21" i="14"/>
  <c r="J25" i="14"/>
  <c r="J24" i="14"/>
  <c r="J21" i="15"/>
  <c r="J24" i="15"/>
  <c r="J26" i="19"/>
  <c r="J22" i="19"/>
  <c r="J19" i="19"/>
  <c r="J23" i="9"/>
  <c r="J17" i="9"/>
  <c r="J24" i="9"/>
  <c r="J23" i="10"/>
  <c r="J19" i="10"/>
  <c r="J10" i="9"/>
  <c r="J12" i="9"/>
  <c r="J11" i="9"/>
  <c r="J13" i="21"/>
  <c r="J7" i="21"/>
  <c r="J13" i="12"/>
  <c r="J7" i="12"/>
  <c r="J6" i="12"/>
  <c r="J7" i="22"/>
  <c r="J10" i="22"/>
  <c r="J12" i="22"/>
  <c r="J20" i="18"/>
  <c r="J11" i="10"/>
  <c r="J9" i="10"/>
  <c r="J12" i="18"/>
  <c r="J11" i="18"/>
  <c r="J13" i="18"/>
  <c r="J23" i="21"/>
  <c r="J6" i="14"/>
  <c r="J10" i="13"/>
  <c r="J14" i="13"/>
  <c r="J17" i="22"/>
  <c r="J18" i="12"/>
  <c r="J25" i="12"/>
  <c r="J22" i="13"/>
  <c r="J18" i="20"/>
  <c r="J12" i="19"/>
  <c r="J9" i="19"/>
  <c r="J14" i="19"/>
  <c r="J6" i="20"/>
  <c r="J5" i="20"/>
  <c r="J20" i="14"/>
  <c r="J18" i="15"/>
  <c r="J22" i="15"/>
  <c r="J21" i="19"/>
  <c r="J20" i="9"/>
  <c r="J24" i="10"/>
  <c r="J20" i="10"/>
  <c r="J5" i="9"/>
  <c r="J5" i="21"/>
  <c r="J6" i="21"/>
  <c r="J5" i="12"/>
  <c r="J8" i="12"/>
  <c r="J8" i="22"/>
  <c r="J9" i="22"/>
  <c r="C7" i="8" l="1"/>
  <c r="C8" i="8" l="1"/>
  <c r="C6" i="8"/>
  <c r="C5" i="8"/>
  <c r="C4" i="8"/>
  <c r="C3" i="8"/>
  <c r="D1" i="11" l="1"/>
  <c r="D26" i="11" l="1"/>
  <c r="F25" i="11"/>
  <c r="B25" i="11"/>
  <c r="D24" i="11"/>
  <c r="F23" i="11"/>
  <c r="B23" i="11"/>
  <c r="D22" i="11"/>
  <c r="F21" i="11"/>
  <c r="B21" i="11"/>
  <c r="D20" i="11"/>
  <c r="F19" i="11"/>
  <c r="B19" i="11"/>
  <c r="D18" i="11"/>
  <c r="F17" i="11"/>
  <c r="B17" i="11"/>
  <c r="F14" i="11"/>
  <c r="B14" i="11"/>
  <c r="D13" i="11"/>
  <c r="F12" i="11"/>
  <c r="B12" i="11"/>
  <c r="B36" i="11" s="1"/>
  <c r="D11" i="11"/>
  <c r="F10" i="11"/>
  <c r="B10" i="11"/>
  <c r="B34" i="11" s="1"/>
  <c r="D9" i="11"/>
  <c r="F8" i="11"/>
  <c r="B8" i="11"/>
  <c r="B32" i="11" s="1"/>
  <c r="D7" i="11"/>
  <c r="F6" i="11"/>
  <c r="B6" i="11"/>
  <c r="D5" i="11"/>
  <c r="E26" i="11"/>
  <c r="E24" i="11"/>
  <c r="C23" i="11"/>
  <c r="E13" i="11"/>
  <c r="E9" i="11"/>
  <c r="E7" i="11"/>
  <c r="C6" i="11"/>
  <c r="E5" i="11"/>
  <c r="C26" i="11"/>
  <c r="E25" i="11"/>
  <c r="C24" i="11"/>
  <c r="E23" i="11"/>
  <c r="C22" i="11"/>
  <c r="E21" i="11"/>
  <c r="C20" i="11"/>
  <c r="E19" i="11"/>
  <c r="C18" i="11"/>
  <c r="E17" i="11"/>
  <c r="E14" i="11"/>
  <c r="C13" i="11"/>
  <c r="E12" i="11"/>
  <c r="C11" i="11"/>
  <c r="E10" i="11"/>
  <c r="C9" i="11"/>
  <c r="E8" i="11"/>
  <c r="C7" i="11"/>
  <c r="E6" i="11"/>
  <c r="C5" i="11"/>
  <c r="C25" i="11"/>
  <c r="E22" i="11"/>
  <c r="C21" i="11"/>
  <c r="E20" i="11"/>
  <c r="C19" i="11"/>
  <c r="C14" i="11"/>
  <c r="E11" i="11"/>
  <c r="C8" i="11"/>
  <c r="F26" i="11"/>
  <c r="B26" i="11"/>
  <c r="D25" i="11"/>
  <c r="F24" i="11"/>
  <c r="B24" i="11"/>
  <c r="D23" i="11"/>
  <c r="F22" i="11"/>
  <c r="B22" i="11"/>
  <c r="D21" i="11"/>
  <c r="F20" i="11"/>
  <c r="B20" i="11"/>
  <c r="D19" i="11"/>
  <c r="F18" i="11"/>
  <c r="B18" i="11"/>
  <c r="D17" i="11"/>
  <c r="D14" i="11"/>
  <c r="F13" i="11"/>
  <c r="B13" i="11"/>
  <c r="B37" i="11" s="1"/>
  <c r="D12" i="11"/>
  <c r="F11" i="11"/>
  <c r="B11" i="11"/>
  <c r="D10" i="11"/>
  <c r="F9" i="11"/>
  <c r="B9" i="11"/>
  <c r="B33" i="11" s="1"/>
  <c r="D8" i="11"/>
  <c r="F7" i="11"/>
  <c r="B7" i="11"/>
  <c r="B31" i="11" s="1"/>
  <c r="D6" i="11"/>
  <c r="F5" i="11"/>
  <c r="B5" i="11"/>
  <c r="B29" i="11" s="1"/>
  <c r="E18" i="11"/>
  <c r="C17" i="11"/>
  <c r="C12" i="11"/>
  <c r="C10" i="11"/>
  <c r="B37" i="15"/>
  <c r="B34" i="15"/>
  <c r="B29" i="15"/>
  <c r="B33" i="14"/>
  <c r="B34" i="14"/>
  <c r="B29" i="14"/>
  <c r="B36" i="13"/>
  <c r="B29" i="13"/>
  <c r="B29" i="12"/>
  <c r="B38" i="10"/>
  <c r="B29" i="10"/>
  <c r="B32" i="15"/>
  <c r="B31" i="15"/>
  <c r="B35" i="15"/>
  <c r="B38" i="15"/>
  <c r="B35" i="14"/>
  <c r="B32" i="14"/>
  <c r="B32" i="13"/>
  <c r="B37" i="13"/>
  <c r="B35" i="13"/>
  <c r="B32" i="10"/>
  <c r="I4" i="3"/>
  <c r="M13" i="11" l="1"/>
  <c r="M11" i="11"/>
  <c r="M9" i="11"/>
  <c r="M7" i="11"/>
  <c r="M5" i="11"/>
  <c r="M6" i="11"/>
  <c r="M14" i="11"/>
  <c r="M12" i="11"/>
  <c r="M10" i="11"/>
  <c r="M8" i="11"/>
  <c r="I25" i="11"/>
  <c r="I19" i="11"/>
  <c r="I17" i="11"/>
  <c r="I26" i="11"/>
  <c r="I24" i="11"/>
  <c r="I22" i="11"/>
  <c r="I20" i="11"/>
  <c r="I18" i="11"/>
  <c r="I23" i="11"/>
  <c r="I21" i="11"/>
  <c r="I10" i="11"/>
  <c r="I8" i="11"/>
  <c r="I13" i="11"/>
  <c r="I11" i="11"/>
  <c r="I9" i="11"/>
  <c r="I7" i="11"/>
  <c r="I5" i="11"/>
  <c r="I12" i="11"/>
  <c r="I14" i="11"/>
  <c r="I6" i="11"/>
  <c r="L25" i="11"/>
  <c r="L23" i="11"/>
  <c r="L21" i="11"/>
  <c r="L19" i="11"/>
  <c r="L17" i="11"/>
  <c r="L26" i="11"/>
  <c r="L24" i="11"/>
  <c r="L22" i="11"/>
  <c r="L20" i="11"/>
  <c r="L18" i="11"/>
  <c r="J26" i="11"/>
  <c r="J24" i="11"/>
  <c r="J22" i="11"/>
  <c r="J20" i="11"/>
  <c r="J18" i="11"/>
  <c r="J25" i="11"/>
  <c r="J23" i="11"/>
  <c r="J21" i="11"/>
  <c r="J19" i="11"/>
  <c r="J17" i="11"/>
  <c r="J13" i="11"/>
  <c r="J11" i="11"/>
  <c r="J9" i="11"/>
  <c r="J7" i="11"/>
  <c r="J5" i="11"/>
  <c r="J14" i="11"/>
  <c r="J12" i="11"/>
  <c r="J10" i="11"/>
  <c r="J8" i="11"/>
  <c r="J6" i="11"/>
  <c r="L14" i="11"/>
  <c r="L12" i="11"/>
  <c r="L10" i="11"/>
  <c r="L8" i="11"/>
  <c r="L6" i="11"/>
  <c r="L13" i="11"/>
  <c r="L11" i="11"/>
  <c r="L9" i="11"/>
  <c r="L7" i="11"/>
  <c r="L5" i="11"/>
  <c r="K11" i="11"/>
  <c r="K14" i="11"/>
  <c r="K12" i="11"/>
  <c r="K10" i="11"/>
  <c r="K8" i="11"/>
  <c r="K6" i="11"/>
  <c r="K13" i="11"/>
  <c r="K9" i="11"/>
  <c r="K5" i="11"/>
  <c r="K7" i="11"/>
  <c r="M21" i="11"/>
  <c r="M26" i="11"/>
  <c r="M24" i="11"/>
  <c r="M22" i="11"/>
  <c r="M20" i="11"/>
  <c r="M18" i="11"/>
  <c r="M17" i="11"/>
  <c r="M25" i="11"/>
  <c r="M23" i="11"/>
  <c r="M19" i="11"/>
  <c r="K20" i="11"/>
  <c r="K18" i="11"/>
  <c r="K25" i="11"/>
  <c r="K23" i="11"/>
  <c r="K21" i="11"/>
  <c r="K19" i="11"/>
  <c r="K17" i="11"/>
  <c r="K26" i="11"/>
  <c r="K24" i="11"/>
  <c r="K22" i="11"/>
  <c r="B35" i="11"/>
  <c r="B31" i="13"/>
  <c r="B32" i="12"/>
  <c r="B36" i="10"/>
  <c r="B35" i="10"/>
  <c r="B35" i="12"/>
  <c r="B36" i="14"/>
  <c r="B37" i="14"/>
  <c r="B30" i="15"/>
  <c r="B36" i="12"/>
  <c r="B38" i="14"/>
  <c r="B36" i="15"/>
  <c r="B33" i="15"/>
  <c r="B30" i="13"/>
  <c r="B31" i="14"/>
  <c r="B30" i="14"/>
  <c r="B34" i="13"/>
  <c r="B38" i="13"/>
  <c r="B33" i="13"/>
  <c r="B38" i="12"/>
  <c r="B34" i="12"/>
  <c r="B33" i="12"/>
  <c r="B31" i="12"/>
  <c r="B37" i="12"/>
  <c r="B30" i="12"/>
  <c r="B38" i="11"/>
  <c r="B37" i="10"/>
  <c r="B30" i="11"/>
  <c r="B34" i="10"/>
  <c r="B33" i="10"/>
  <c r="B31" i="10"/>
  <c r="B30" i="10"/>
  <c r="I3" i="4" l="1"/>
  <c r="I4" i="4"/>
  <c r="I5" i="4"/>
  <c r="I6" i="4"/>
  <c r="I7" i="4"/>
  <c r="I9" i="4"/>
  <c r="I10" i="4"/>
  <c r="I11" i="4"/>
  <c r="I12" i="4"/>
  <c r="I13" i="4"/>
  <c r="A12" i="7"/>
  <c r="H12" i="7" s="1"/>
  <c r="A11" i="7"/>
  <c r="H11" i="7" s="1"/>
  <c r="A10" i="7"/>
  <c r="H10" i="7" s="1"/>
  <c r="A9" i="7"/>
  <c r="H9" i="7" s="1"/>
  <c r="A8" i="7"/>
  <c r="H8" i="7" s="1"/>
  <c r="A7" i="7"/>
  <c r="H7" i="7" s="1"/>
  <c r="A6" i="7"/>
  <c r="H6" i="7" s="1"/>
  <c r="A5" i="7"/>
  <c r="H5" i="7" s="1"/>
  <c r="A4" i="7"/>
  <c r="H4" i="7" s="1"/>
  <c r="A3" i="7"/>
  <c r="H3" i="7" s="1"/>
  <c r="I3" i="6"/>
  <c r="I4" i="6"/>
  <c r="I5" i="6"/>
  <c r="I6" i="6"/>
  <c r="I7" i="6"/>
  <c r="I8" i="6"/>
  <c r="I9" i="6"/>
  <c r="I10" i="6"/>
  <c r="I11" i="6"/>
  <c r="I12" i="6"/>
  <c r="I13" i="6"/>
  <c r="F11" i="7"/>
  <c r="C9" i="7"/>
  <c r="F7" i="7"/>
  <c r="D8" i="7"/>
  <c r="B5" i="7"/>
  <c r="F10" i="7"/>
  <c r="B10" i="7"/>
  <c r="F12" i="7"/>
  <c r="F4" i="7"/>
  <c r="D6" i="7"/>
  <c r="B3" i="7"/>
  <c r="D12" i="7"/>
  <c r="C6" i="7"/>
  <c r="E11" i="7"/>
  <c r="F8" i="7"/>
  <c r="B7" i="7"/>
  <c r="D5" i="7"/>
  <c r="C5" i="7"/>
  <c r="C12" i="7"/>
  <c r="D11" i="7"/>
  <c r="D4" i="7"/>
  <c r="D7" i="7"/>
  <c r="F5" i="7"/>
  <c r="C10" i="7"/>
  <c r="F9" i="7"/>
  <c r="C8" i="7"/>
  <c r="E6" i="7"/>
  <c r="E12" i="7"/>
  <c r="B8" i="7"/>
  <c r="C11" i="7"/>
  <c r="B11" i="7"/>
  <c r="D10" i="7"/>
  <c r="E4" i="7"/>
  <c r="E5" i="7"/>
  <c r="E9" i="7"/>
  <c r="F6" i="7"/>
  <c r="E3" i="7"/>
  <c r="C7" i="7"/>
  <c r="D9" i="7"/>
  <c r="B12" i="7"/>
  <c r="E7" i="7"/>
  <c r="E10" i="7"/>
  <c r="D3" i="7"/>
  <c r="F3" i="7"/>
  <c r="E8" i="7"/>
  <c r="B4" i="7"/>
  <c r="B9" i="7"/>
  <c r="B6" i="7"/>
  <c r="C3" i="7"/>
  <c r="C4" i="7"/>
  <c r="M11" i="7" l="1"/>
  <c r="M4" i="7"/>
  <c r="M7" i="7"/>
  <c r="M10" i="7"/>
  <c r="M12" i="7"/>
  <c r="M9" i="7"/>
  <c r="M3" i="7"/>
  <c r="M5" i="7"/>
  <c r="M6" i="7"/>
  <c r="M8" i="7"/>
  <c r="K3" i="7"/>
  <c r="K5" i="7"/>
  <c r="K8" i="7"/>
  <c r="K10" i="7"/>
  <c r="K11" i="7"/>
  <c r="K6" i="7"/>
  <c r="K4" i="7"/>
  <c r="K12" i="7"/>
  <c r="K7" i="7"/>
  <c r="K9" i="7"/>
  <c r="L9" i="7"/>
  <c r="L4" i="7"/>
  <c r="L11" i="7"/>
  <c r="L5" i="7"/>
  <c r="L3" i="7"/>
  <c r="L7" i="7"/>
  <c r="L12" i="7"/>
  <c r="L6" i="7"/>
  <c r="L10" i="7"/>
  <c r="L8" i="7"/>
  <c r="J9" i="7"/>
  <c r="J3" i="7"/>
  <c r="J12" i="7"/>
  <c r="J7" i="7"/>
  <c r="J5" i="7"/>
  <c r="J11" i="7"/>
  <c r="J8" i="7"/>
  <c r="J10" i="7"/>
  <c r="J4" i="7"/>
  <c r="J6" i="7"/>
  <c r="I11" i="7"/>
  <c r="I8" i="7"/>
  <c r="I4" i="7"/>
  <c r="I10" i="7"/>
  <c r="I5" i="7"/>
  <c r="I6" i="7"/>
  <c r="I12" i="7"/>
  <c r="I9" i="7"/>
  <c r="I7" i="7"/>
  <c r="I3" i="7"/>
  <c r="I13" i="3"/>
  <c r="I12" i="3"/>
  <c r="I11" i="3"/>
  <c r="I10" i="3"/>
  <c r="I9" i="3"/>
  <c r="I8" i="3"/>
  <c r="I7" i="3"/>
  <c r="I6" i="3"/>
  <c r="I5" i="3"/>
  <c r="I3" i="2"/>
  <c r="I13" i="5"/>
  <c r="I12" i="5"/>
  <c r="I11" i="5"/>
  <c r="I10" i="5"/>
  <c r="I9" i="5"/>
  <c r="I8" i="5"/>
  <c r="I7" i="5"/>
  <c r="I6" i="5"/>
  <c r="F31" i="11" l="1"/>
  <c r="F36" i="14"/>
  <c r="F36" i="13"/>
  <c r="F36" i="15"/>
  <c r="F34" i="14"/>
  <c r="F31" i="14"/>
  <c r="F34" i="9"/>
  <c r="F34" i="10"/>
  <c r="F34" i="13"/>
  <c r="F36" i="10"/>
  <c r="F35" i="11"/>
  <c r="F31" i="10"/>
  <c r="F35" i="14"/>
  <c r="F30" i="10"/>
  <c r="F34" i="11"/>
  <c r="F36" i="11"/>
  <c r="F30" i="14" l="1"/>
  <c r="F30" i="15"/>
  <c r="F30" i="11"/>
  <c r="F30" i="13"/>
  <c r="F38" i="11"/>
  <c r="F38" i="9"/>
  <c r="F37" i="10"/>
  <c r="F33" i="15" l="1"/>
  <c r="F33" i="9"/>
  <c r="F33" i="14"/>
  <c r="F33" i="10"/>
  <c r="F33" i="11"/>
  <c r="F33" i="12"/>
  <c r="F33" i="13"/>
  <c r="F29" i="10"/>
  <c r="F29" i="14"/>
  <c r="F29" i="9"/>
  <c r="F37" i="14"/>
  <c r="F37" i="9"/>
  <c r="F32" i="9"/>
  <c r="F32" i="10"/>
  <c r="F32" i="15"/>
  <c r="F32" i="11"/>
  <c r="F32" i="13"/>
  <c r="F32" i="14"/>
  <c r="F37" i="11"/>
  <c r="F30" i="12" l="1"/>
  <c r="F31" i="15"/>
  <c r="F32" i="12"/>
  <c r="F35" i="12"/>
  <c r="F35" i="9"/>
  <c r="F37" i="12"/>
  <c r="F31" i="9"/>
  <c r="F29" i="11"/>
  <c r="F34" i="15"/>
  <c r="F35" i="13"/>
  <c r="F38" i="10"/>
  <c r="F31" i="13"/>
  <c r="F31" i="12"/>
  <c r="F36" i="12"/>
  <c r="F38" i="12"/>
  <c r="F29" i="13"/>
  <c r="F37" i="15"/>
  <c r="F36" i="9"/>
  <c r="F38" i="15"/>
  <c r="F29" i="12"/>
  <c r="F35" i="15"/>
  <c r="F29" i="15"/>
  <c r="F38" i="14"/>
  <c r="F38" i="13"/>
  <c r="F34" i="12"/>
  <c r="F30" i="9"/>
  <c r="F35" i="10"/>
  <c r="F37" i="13"/>
  <c r="E34" i="14" l="1"/>
  <c r="E38" i="11"/>
  <c r="E38" i="9"/>
  <c r="E29" i="15"/>
  <c r="E32" i="15"/>
  <c r="E31" i="9"/>
  <c r="E32" i="9"/>
  <c r="E30" i="10"/>
  <c r="E30" i="11"/>
  <c r="E31" i="10"/>
  <c r="E29" i="10"/>
  <c r="E31" i="14"/>
  <c r="E35" i="15"/>
  <c r="E33" i="9"/>
  <c r="E32" i="10"/>
  <c r="E31" i="11"/>
  <c r="E32" i="11"/>
  <c r="E33" i="11"/>
  <c r="E29" i="13"/>
  <c r="E33" i="14"/>
  <c r="E32" i="14"/>
  <c r="E34" i="9"/>
  <c r="E36" i="9"/>
  <c r="E34" i="11"/>
  <c r="E33" i="10"/>
  <c r="E32" i="12"/>
  <c r="E31" i="13"/>
  <c r="E30" i="14"/>
  <c r="E37" i="9"/>
  <c r="E36" i="10"/>
  <c r="E36" i="11"/>
  <c r="E37" i="11"/>
  <c r="E32" i="13"/>
  <c r="E33" i="13"/>
  <c r="E36" i="14"/>
  <c r="E35" i="11" l="1"/>
  <c r="E29" i="14"/>
  <c r="E37" i="15"/>
  <c r="E37" i="14"/>
  <c r="E29" i="11"/>
  <c r="E38" i="14"/>
  <c r="E35" i="10"/>
  <c r="E38" i="15"/>
  <c r="E35" i="14"/>
  <c r="E35" i="13"/>
  <c r="E33" i="12" l="1"/>
  <c r="E34" i="15"/>
  <c r="E35" i="9"/>
  <c r="E31" i="12"/>
  <c r="E36" i="12"/>
  <c r="E36" i="15"/>
  <c r="E37" i="10"/>
  <c r="E36" i="13"/>
  <c r="E30" i="12"/>
  <c r="E38" i="10"/>
  <c r="E33" i="15"/>
  <c r="E34" i="12"/>
  <c r="E34" i="13"/>
  <c r="E31" i="15"/>
  <c r="E29" i="9"/>
  <c r="E38" i="12"/>
  <c r="E38" i="13"/>
  <c r="E30" i="9"/>
  <c r="E30" i="15"/>
  <c r="E34" i="10"/>
  <c r="E35" i="12"/>
  <c r="E29" i="12"/>
  <c r="E37" i="13"/>
  <c r="E37" i="12"/>
  <c r="E30" i="13"/>
  <c r="C11" i="8" l="1"/>
  <c r="C12" i="8" l="1"/>
  <c r="C14" i="8"/>
  <c r="C13" i="8"/>
  <c r="C30" i="11" l="1"/>
  <c r="C30" i="13"/>
  <c r="C30" i="15"/>
  <c r="C30" i="12"/>
  <c r="C30" i="9"/>
  <c r="C30" i="14"/>
  <c r="C30" i="10"/>
  <c r="C35" i="11"/>
  <c r="C37" i="9"/>
  <c r="C31" i="14"/>
  <c r="C35" i="14" l="1"/>
  <c r="C35" i="15"/>
  <c r="C38" i="10"/>
  <c r="C32" i="9"/>
  <c r="C32" i="15"/>
  <c r="C32" i="11"/>
  <c r="C32" i="14"/>
  <c r="C29" i="13"/>
  <c r="C31" i="11"/>
  <c r="C31" i="9"/>
  <c r="C29" i="12"/>
  <c r="C29" i="11"/>
  <c r="C29" i="9"/>
  <c r="C35" i="10"/>
  <c r="C37" i="14"/>
  <c r="C38" i="11"/>
  <c r="C38" i="9"/>
  <c r="C34" i="14"/>
  <c r="C34" i="11"/>
  <c r="C34" i="9"/>
  <c r="C29" i="10"/>
  <c r="C29" i="14"/>
  <c r="C29" i="15"/>
  <c r="C33" i="11"/>
  <c r="C33" i="14"/>
  <c r="C33" i="15"/>
  <c r="C36" i="15"/>
  <c r="C36" i="9"/>
  <c r="C36" i="14"/>
  <c r="C36" i="11"/>
  <c r="C35" i="9"/>
  <c r="C37" i="10"/>
  <c r="C37" i="11"/>
  <c r="C38" i="15"/>
  <c r="C33" i="13" l="1"/>
  <c r="C38" i="12"/>
  <c r="C37" i="15"/>
  <c r="C31" i="12"/>
  <c r="C33" i="10"/>
  <c r="C34" i="13"/>
  <c r="C31" i="10"/>
  <c r="C34" i="12"/>
  <c r="C34" i="10"/>
  <c r="C35" i="12"/>
  <c r="C36" i="10"/>
  <c r="C31" i="13"/>
  <c r="C36" i="12"/>
  <c r="C32" i="13"/>
  <c r="C37" i="12"/>
  <c r="C38" i="13"/>
  <c r="C37" i="13"/>
  <c r="C31" i="15"/>
  <c r="C32" i="10"/>
  <c r="C34" i="15"/>
  <c r="C35" i="13"/>
  <c r="C36" i="13"/>
  <c r="C33" i="9"/>
  <c r="C38" i="14"/>
  <c r="C32" i="12"/>
  <c r="C33" i="12"/>
  <c r="D29" i="15" l="1"/>
  <c r="D36" i="9"/>
  <c r="D30" i="9"/>
  <c r="D31" i="10"/>
  <c r="D35" i="11"/>
  <c r="D30" i="10"/>
  <c r="D33" i="11"/>
  <c r="D31" i="13"/>
  <c r="D31" i="14"/>
  <c r="D34" i="14"/>
  <c r="D32" i="14"/>
  <c r="D36" i="15"/>
  <c r="D32" i="9"/>
  <c r="D38" i="9"/>
  <c r="D38" i="11"/>
  <c r="D30" i="13"/>
  <c r="D31" i="15"/>
  <c r="D31" i="9"/>
  <c r="D31" i="11"/>
  <c r="D31" i="12"/>
  <c r="D34" i="11"/>
  <c r="D35" i="9"/>
  <c r="D34" i="15"/>
  <c r="D33" i="9"/>
  <c r="D36" i="11"/>
  <c r="D30" i="11"/>
  <c r="D30" i="14"/>
  <c r="D33" i="14"/>
  <c r="D36" i="14"/>
  <c r="D29" i="11" l="1"/>
  <c r="D37" i="14"/>
  <c r="D37" i="11"/>
  <c r="D37" i="15"/>
  <c r="D37" i="9"/>
  <c r="D35" i="14"/>
  <c r="D29" i="14"/>
  <c r="D29" i="10"/>
  <c r="D32" i="11"/>
  <c r="D32" i="13"/>
  <c r="D32" i="10"/>
  <c r="D11" i="8" l="1"/>
  <c r="D14" i="8" l="1"/>
  <c r="D13" i="8"/>
  <c r="D12" i="8"/>
  <c r="D37" i="10"/>
  <c r="D37" i="12"/>
  <c r="D34" i="12"/>
  <c r="D33" i="13"/>
  <c r="D38" i="15"/>
  <c r="D34" i="13"/>
  <c r="D35" i="15"/>
  <c r="D38" i="13"/>
  <c r="D35" i="12"/>
  <c r="D37" i="13"/>
  <c r="D35" i="10"/>
  <c r="D30" i="12"/>
  <c r="D32" i="12"/>
  <c r="D35" i="13"/>
  <c r="D33" i="12"/>
  <c r="D32" i="15"/>
  <c r="D36" i="13"/>
  <c r="D33" i="15"/>
  <c r="D36" i="10"/>
  <c r="D34" i="10"/>
  <c r="D36" i="12"/>
  <c r="D29" i="12"/>
  <c r="D30" i="15"/>
  <c r="D38" i="14"/>
  <c r="D33" i="10"/>
  <c r="D29" i="13"/>
  <c r="D29" i="9"/>
  <c r="D38" i="10"/>
  <c r="D34" i="9"/>
  <c r="D38" i="12"/>
  <c r="B31" i="9" l="1"/>
  <c r="B38" i="9"/>
  <c r="B33" i="9"/>
  <c r="B37" i="9" l="1"/>
  <c r="B35" i="9"/>
  <c r="B34" i="9"/>
  <c r="B36" i="9"/>
  <c r="B30" i="9"/>
  <c r="B29" i="9"/>
  <c r="B32" i="9" l="1"/>
  <c r="F11" i="8" l="1"/>
  <c r="F13" i="8" l="1"/>
  <c r="F12" i="8"/>
  <c r="F14" i="8"/>
  <c r="E11" i="8" l="1"/>
  <c r="E12" i="8" l="1"/>
  <c r="E14" i="8"/>
  <c r="E13" i="8"/>
  <c r="E27" i="8" l="1"/>
  <c r="E28" i="8" l="1"/>
  <c r="E30" i="8"/>
  <c r="E29" i="8"/>
  <c r="D27" i="8" l="1"/>
  <c r="D28" i="8" l="1"/>
  <c r="D30" i="8"/>
  <c r="D29" i="8"/>
  <c r="D21" i="8" l="1"/>
  <c r="D19" i="8"/>
  <c r="D22" i="8"/>
  <c r="D20" i="8"/>
  <c r="D24" i="8"/>
  <c r="D23" i="8" l="1"/>
  <c r="C30" i="8"/>
  <c r="C27" i="8"/>
  <c r="C28" i="8"/>
  <c r="C29" i="8"/>
  <c r="C24" i="8" l="1"/>
  <c r="C19" i="8"/>
  <c r="C20" i="8" l="1"/>
  <c r="C21" i="8"/>
  <c r="C23" i="8"/>
  <c r="C22" i="8"/>
  <c r="F27" i="8" l="1"/>
  <c r="F29" i="8" l="1"/>
  <c r="F28" i="8"/>
  <c r="F30" i="8"/>
  <c r="F24" i="8" l="1"/>
  <c r="F23" i="8"/>
  <c r="F22" i="8" l="1"/>
  <c r="F19" i="8" l="1"/>
  <c r="F21" i="8"/>
  <c r="F20" i="8"/>
  <c r="B29" i="8"/>
  <c r="B27" i="8" l="1"/>
  <c r="B30" i="8"/>
  <c r="B28" i="8"/>
  <c r="B23" i="8" l="1"/>
  <c r="B24" i="8"/>
  <c r="B21" i="8"/>
  <c r="B19" i="8"/>
  <c r="B20" i="8"/>
  <c r="B22" i="8"/>
  <c r="F14" i="23" l="1"/>
  <c r="F12" i="23"/>
  <c r="F15" i="23" l="1"/>
  <c r="F13" i="23"/>
  <c r="F3" i="23" l="1"/>
  <c r="F6" i="23"/>
  <c r="F9" i="23"/>
  <c r="F8" i="23"/>
  <c r="F5" i="23"/>
  <c r="F7" i="23"/>
  <c r="E4" i="23" l="1"/>
  <c r="E3" i="23"/>
  <c r="E5" i="23"/>
  <c r="E6" i="23"/>
  <c r="E7" i="23"/>
  <c r="E8" i="23"/>
  <c r="E9" i="23"/>
  <c r="D12" i="23" l="1"/>
  <c r="D14" i="23"/>
  <c r="D15" i="23" l="1"/>
  <c r="D13" i="23"/>
  <c r="D7" i="23" l="1"/>
  <c r="D5" i="23" l="1"/>
  <c r="D6" i="23"/>
  <c r="D3" i="23"/>
  <c r="D9" i="23"/>
  <c r="D8" i="23"/>
  <c r="C14" i="23" l="1"/>
  <c r="C12" i="23" l="1"/>
  <c r="C15" i="23"/>
  <c r="C13" i="23"/>
  <c r="C3" i="23" l="1"/>
  <c r="C5" i="23"/>
  <c r="C6" i="23"/>
  <c r="C7" i="23"/>
  <c r="C8" i="23"/>
  <c r="C9" i="23"/>
  <c r="B14" i="23" l="1"/>
  <c r="B12" i="23" l="1"/>
  <c r="B15" i="23"/>
  <c r="B13" i="23"/>
  <c r="B3" i="23" l="1"/>
  <c r="B5" i="23"/>
  <c r="B6" i="23"/>
  <c r="B7" i="23"/>
  <c r="B8" i="23"/>
  <c r="B9" i="23"/>
  <c r="B38" i="25" l="1"/>
  <c r="B58" i="25" s="1"/>
  <c r="D53" i="25" l="1"/>
  <c r="D29" i="23"/>
  <c r="D56" i="25" l="1"/>
  <c r="D32" i="23"/>
  <c r="D52" i="25"/>
  <c r="D28" i="23"/>
  <c r="D54" i="25"/>
  <c r="D30" i="23"/>
  <c r="D31" i="23"/>
  <c r="D55" i="25"/>
  <c r="B53" i="25" l="1"/>
  <c r="B55" i="25"/>
  <c r="B52" i="25" l="1"/>
  <c r="B56" i="25"/>
  <c r="B54" i="25"/>
  <c r="F55" i="25" l="1"/>
  <c r="F53" i="25"/>
  <c r="F52" i="25" l="1"/>
  <c r="F56" i="25"/>
  <c r="F54" i="25"/>
  <c r="C53" i="25" l="1"/>
  <c r="C55" i="25" l="1"/>
  <c r="C52" i="25"/>
  <c r="C56" i="25"/>
  <c r="C54" i="25"/>
  <c r="AE13" i="25" l="1"/>
  <c r="E15" i="25" a="1"/>
  <c r="E15" i="25" s="1"/>
  <c r="E55" i="25" s="1"/>
  <c r="E12" i="23" l="1"/>
  <c r="E12" i="25" a="1"/>
  <c r="E12" i="25" s="1"/>
  <c r="E52" i="25" s="1"/>
  <c r="AE15" i="25"/>
  <c r="E13" i="25" a="1"/>
  <c r="E13" i="25" s="1"/>
  <c r="E53" i="25" s="1"/>
  <c r="E14" i="23"/>
  <c r="AE16" i="25"/>
  <c r="E16" i="25" a="1"/>
  <c r="E16" i="25" s="1"/>
  <c r="E56" i="25" s="1"/>
  <c r="E15" i="23"/>
  <c r="E14" i="25" a="1"/>
  <c r="E14" i="25" s="1"/>
  <c r="E54" i="25" s="1"/>
  <c r="AE14" i="25"/>
  <c r="E13" i="23"/>
  <c r="AE12" i="25" l="1"/>
</calcChain>
</file>

<file path=xl/sharedStrings.xml><?xml version="1.0" encoding="utf-8"?>
<sst xmlns="http://schemas.openxmlformats.org/spreadsheetml/2006/main" count="557" uniqueCount="86">
  <si>
    <t>+GHO             =&gt;</t>
  </si>
  <si>
    <t>RO</t>
  </si>
  <si>
    <t>REAC</t>
  </si>
  <si>
    <t>br</t>
  </si>
  <si>
    <t>position</t>
  </si>
  <si>
    <t>threshold = 0.001</t>
  </si>
  <si>
    <t>threshold = 0.01</t>
  </si>
  <si>
    <t>pos</t>
  </si>
  <si>
    <t>BR1</t>
  </si>
  <si>
    <t>BR2</t>
  </si>
  <si>
    <t>BR3</t>
  </si>
  <si>
    <t>BR4</t>
  </si>
  <si>
    <t>BR5</t>
  </si>
  <si>
    <t>path</t>
  </si>
  <si>
    <t>DECOMP</t>
  </si>
  <si>
    <t>ISOM</t>
  </si>
  <si>
    <t>=&gt;</t>
  </si>
  <si>
    <t>GK00000</t>
  </si>
  <si>
    <t>CARBONYL</t>
  </si>
  <si>
    <t>HYDROXY-CARBONYL</t>
  </si>
  <si>
    <t>60s</t>
  </si>
  <si>
    <t>end</t>
  </si>
  <si>
    <t>end/60s</t>
  </si>
  <si>
    <t>major/minor</t>
  </si>
  <si>
    <t xml:space="preserve">quantities of product: </t>
  </si>
  <si>
    <t>(note that the quantities are in units of molec/cc so proportions are not completely meaningful for decomp products)</t>
  </si>
  <si>
    <t>[SOA]/d[gas]</t>
  </si>
  <si>
    <t>[SOA]/d[total]</t>
  </si>
  <si>
    <t>mass_SOA/d_mass_gas</t>
  </si>
  <si>
    <t>[prec_wall]/d[prec_total]</t>
  </si>
  <si>
    <t>NITRATE-CARBONYL</t>
  </si>
  <si>
    <t>DINITR</t>
  </si>
  <si>
    <t>1-nitr</t>
  </si>
  <si>
    <t>2-nitr</t>
  </si>
  <si>
    <t>3-nitr</t>
  </si>
  <si>
    <t>4-nitr</t>
  </si>
  <si>
    <t>5-nitr</t>
  </si>
  <si>
    <t>GN00000+GHO</t>
  </si>
  <si>
    <t>G2N0000</t>
  </si>
  <si>
    <t>G2N0001</t>
  </si>
  <si>
    <t>G2N0002</t>
  </si>
  <si>
    <t>G2N0003</t>
  </si>
  <si>
    <t>G2N0004</t>
  </si>
  <si>
    <t>G2N0005</t>
  </si>
  <si>
    <t>G2N0006</t>
  </si>
  <si>
    <t>G2N0007</t>
  </si>
  <si>
    <t>G2N0008</t>
  </si>
  <si>
    <t>GN00000</t>
  </si>
  <si>
    <t>1-nitrate</t>
  </si>
  <si>
    <t>2-nitrate</t>
  </si>
  <si>
    <t>3-nitrate</t>
  </si>
  <si>
    <t>4-nitrate</t>
  </si>
  <si>
    <t>5-nitrate</t>
  </si>
  <si>
    <t>alkanols</t>
  </si>
  <si>
    <t>decan-nitrates</t>
  </si>
  <si>
    <t>formatted as Table S1, SI from Algrim Decanols paper</t>
  </si>
  <si>
    <t>mechanism 210405</t>
  </si>
  <si>
    <t>3G</t>
  </si>
  <si>
    <t>CYCLIC HEMIACETALS</t>
  </si>
  <si>
    <t>%reacted</t>
  </si>
  <si>
    <t>at max SOA</t>
  </si>
  <si>
    <t>NITR</t>
  </si>
  <si>
    <t>CYCLIC HEMIACETAL</t>
  </si>
  <si>
    <t>% reacted</t>
  </si>
  <si>
    <t>modeled mass yields</t>
  </si>
  <si>
    <t>measured mass yields</t>
  </si>
  <si>
    <t>(Algrim SOA yields.xlsx)</t>
  </si>
  <si>
    <t>at 60 mins</t>
  </si>
  <si>
    <t>3RD-GEN-C/10</t>
  </si>
  <si>
    <t>TODO: change linked filenames</t>
  </si>
  <si>
    <t>ISOMERISATION</t>
  </si>
  <si>
    <t>DINITRATES</t>
  </si>
  <si>
    <t>HYDROXY CARBONYLS</t>
  </si>
  <si>
    <t>CARBONYL NITRATES</t>
  </si>
  <si>
    <t>DECOMPOSITION</t>
  </si>
  <si>
    <t>1 gen, 60 mins</t>
  </si>
  <si>
    <t>GAS PHASE ONLY</t>
  </si>
  <si>
    <t>all gens, max SOA</t>
  </si>
  <si>
    <t>all gens, 60 mins</t>
  </si>
  <si>
    <t>GAS PHASE @ max aer</t>
  </si>
  <si>
    <t>AER PHASE @ max aer</t>
  </si>
  <si>
    <t>WALL PHASE @ max aer</t>
  </si>
  <si>
    <t>TOTAL @ max aer</t>
  </si>
  <si>
    <t>Higher_gen_C/10</t>
  </si>
  <si>
    <t>yields using full calculation</t>
  </si>
  <si>
    <t>yields for named calculation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</si>
</sst>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Unicode MS"/>
      <family val="2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164" fontId="0" fillId="0" borderId="0" xfId="1" applyNumberFormat="1" applyFont="1"/>
    <xf numFmtId="11" fontId="0" fillId="0" borderId="0" xfId="0" applyNumberFormat="1"/>
    <xf numFmtId="0" fontId="0" fillId="0" borderId="0" xfId="0" applyFill="1"/>
    <xf numFmtId="2" fontId="0" fillId="0" borderId="0" xfId="0" applyNumberFormat="1"/>
    <xf numFmtId="11" fontId="0" fillId="0" borderId="0" xfId="0" applyNumberFormat="1" applyAlignment="1">
      <alignment horizontal="center"/>
    </xf>
    <xf numFmtId="9" fontId="0" fillId="2" borderId="0" xfId="1" applyFont="1" applyFill="1"/>
    <xf numFmtId="11" fontId="0" fillId="0" borderId="0" xfId="0" applyNumberFormat="1" applyFill="1"/>
    <xf numFmtId="2" fontId="0" fillId="0" borderId="0" xfId="0" applyNumberFormat="1" applyFill="1"/>
    <xf numFmtId="164" fontId="0" fillId="0" borderId="0" xfId="1" applyNumberFormat="1" applyFont="1" applyFill="1"/>
    <xf numFmtId="0" fontId="0" fillId="0" borderId="1" xfId="0" applyNumberFormat="1" applyBorder="1"/>
    <xf numFmtId="0" fontId="0" fillId="0" borderId="2" xfId="0" applyNumberFormat="1" applyBorder="1"/>
    <xf numFmtId="0" fontId="0" fillId="0" borderId="3" xfId="0" applyBorder="1"/>
    <xf numFmtId="0" fontId="0" fillId="0" borderId="4" xfId="0" applyNumberFormat="1" applyBorder="1"/>
    <xf numFmtId="0" fontId="0" fillId="0" borderId="0" xfId="0" applyNumberFormat="1" applyBorder="1"/>
    <xf numFmtId="0" fontId="0" fillId="0" borderId="5" xfId="0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8" xfId="0" applyBorder="1"/>
    <xf numFmtId="0" fontId="0" fillId="0" borderId="0" xfId="0" applyAlignment="1">
      <alignment horizontal="right"/>
    </xf>
    <xf numFmtId="0" fontId="0" fillId="0" borderId="3" xfId="0" applyNumberFormat="1" applyBorder="1"/>
    <xf numFmtId="0" fontId="0" fillId="0" borderId="5" xfId="0" applyNumberFormat="1" applyBorder="1"/>
    <xf numFmtId="0" fontId="0" fillId="0" borderId="8" xfId="0" applyNumberFormat="1" applyBorder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2" fillId="0" borderId="0" xfId="0" applyFont="1" applyAlignment="1">
      <alignment vertical="center"/>
    </xf>
    <xf numFmtId="165" fontId="0" fillId="0" borderId="0" xfId="0" applyNumberFormat="1" applyFill="1"/>
    <xf numFmtId="9" fontId="0" fillId="0" borderId="0" xfId="1" applyFont="1" applyFill="1"/>
    <xf numFmtId="11" fontId="0" fillId="3" borderId="0" xfId="0" applyNumberFormat="1" applyFill="1"/>
    <xf numFmtId="2" fontId="0" fillId="0" borderId="0" xfId="1" applyNumberFormat="1" applyFont="1" applyFill="1"/>
    <xf numFmtId="0" fontId="3" fillId="0" borderId="0" xfId="0" applyFont="1" applyFill="1"/>
    <xf numFmtId="165" fontId="0" fillId="0" borderId="0" xfId="0" applyNumberForma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1" fontId="0" fillId="4" borderId="0" xfId="0" applyNumberFormat="1" applyFill="1"/>
  </cellXfs>
  <cellStyles count="2">
    <cellStyle name="Normal" xfId="0" builtinId="0"/>
    <cellStyle name="Percent" xfId="1" builtinId="5"/>
  </cellStyles>
  <dxfs count="5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CC00"/>
      <color rgb="FF9966FF"/>
      <color rgb="FF969696"/>
      <color rgb="FFDDDDDD"/>
      <color rgb="FFFF9999"/>
      <color rgb="FFFF99CC"/>
      <color rgb="FFFF99FF"/>
      <color rgb="FFFFCC99"/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9" Type="http://schemas.openxmlformats.org/officeDocument/2006/relationships/externalLink" Target="externalLinks/externalLink1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1.xml"/><Relationship Id="rId42" Type="http://schemas.openxmlformats.org/officeDocument/2006/relationships/externalLink" Target="externalLinks/externalLink19.xml"/><Relationship Id="rId47" Type="http://schemas.openxmlformats.org/officeDocument/2006/relationships/externalLink" Target="externalLinks/externalLink24.xml"/><Relationship Id="rId50" Type="http://schemas.openxmlformats.org/officeDocument/2006/relationships/externalLink" Target="externalLinks/externalLink27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externalLink" Target="externalLinks/externalLink9.xml"/><Relationship Id="rId37" Type="http://schemas.openxmlformats.org/officeDocument/2006/relationships/externalLink" Target="externalLinks/externalLink14.xml"/><Relationship Id="rId40" Type="http://schemas.openxmlformats.org/officeDocument/2006/relationships/externalLink" Target="externalLinks/externalLink17.xml"/><Relationship Id="rId45" Type="http://schemas.openxmlformats.org/officeDocument/2006/relationships/externalLink" Target="externalLinks/externalLink22.xml"/><Relationship Id="rId53" Type="http://schemas.openxmlformats.org/officeDocument/2006/relationships/externalLink" Target="externalLinks/externalLink30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externalLink" Target="externalLinks/externalLink7.xml"/><Relationship Id="rId35" Type="http://schemas.openxmlformats.org/officeDocument/2006/relationships/externalLink" Target="externalLinks/externalLink12.xml"/><Relationship Id="rId43" Type="http://schemas.openxmlformats.org/officeDocument/2006/relationships/externalLink" Target="externalLinks/externalLink20.xml"/><Relationship Id="rId48" Type="http://schemas.openxmlformats.org/officeDocument/2006/relationships/externalLink" Target="externalLinks/externalLink25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0.xml"/><Relationship Id="rId38" Type="http://schemas.openxmlformats.org/officeDocument/2006/relationships/externalLink" Target="externalLinks/externalLink15.xml"/><Relationship Id="rId46" Type="http://schemas.openxmlformats.org/officeDocument/2006/relationships/externalLink" Target="externalLinks/externalLink23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8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36" Type="http://schemas.openxmlformats.org/officeDocument/2006/relationships/externalLink" Target="externalLinks/externalLink13.xml"/><Relationship Id="rId49" Type="http://schemas.openxmlformats.org/officeDocument/2006/relationships/externalLink" Target="externalLinks/externalLink26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8.xml"/><Relationship Id="rId44" Type="http://schemas.openxmlformats.org/officeDocument/2006/relationships/externalLink" Target="externalLinks/externalLink21.xml"/><Relationship Id="rId52" Type="http://schemas.openxmlformats.org/officeDocument/2006/relationships/externalLink" Target="externalLinks/externalLink29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decan-1nitrate + OH reaction rates by site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'BR1'!$A$3:$A$13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'BR1'!$F$3:$F$13</c:f>
              <c:numCache>
                <c:formatCode>0.00E+00</c:formatCode>
                <c:ptCount val="11"/>
                <c:pt idx="2">
                  <c:v>2.8139999999999999E-13</c:v>
                </c:pt>
                <c:pt idx="3">
                  <c:v>1.407E-12</c:v>
                </c:pt>
                <c:pt idx="4">
                  <c:v>1.407E-12</c:v>
                </c:pt>
                <c:pt idx="5">
                  <c:v>1.407E-12</c:v>
                </c:pt>
                <c:pt idx="6">
                  <c:v>1.407E-12</c:v>
                </c:pt>
                <c:pt idx="7">
                  <c:v>1.407E-12</c:v>
                </c:pt>
                <c:pt idx="8">
                  <c:v>1.407E-12</c:v>
                </c:pt>
                <c:pt idx="9">
                  <c:v>1.042E-12</c:v>
                </c:pt>
                <c:pt idx="10">
                  <c:v>1.7640000000000001E-13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348-4407-BBA0-CA28110A1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987440"/>
        <c:axId val="1054984112"/>
      </c:scatterChart>
      <c:valAx>
        <c:axId val="1054987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4112"/>
        <c:crosses val="autoZero"/>
        <c:crossBetween val="midCat"/>
      </c:valAx>
      <c:valAx>
        <c:axId val="105498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7440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decan-5-nitrate + OH branching ratios &gt;0.1%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B68-420F-8B03-3A225665779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B68-420F-8B03-3A225665779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B68-420F-8B03-3A225665779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B68-420F-8B03-3A225665779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B68-420F-8B03-3A225665779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B68-420F-8B03-3A225665779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B68-420F-8B03-3A225665779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3B68-420F-8B03-3A225665779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3B68-420F-8B03-3A225665779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3B68-420F-8B03-3A225665779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3B68-420F-8B03-3A225665779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'BR5'!$A$3:$B$13</c:f>
              <c:multiLvlStrCache>
                <c:ptCount val="11"/>
                <c:lvl>
                  <c:pt idx="4">
                    <c:v>REAC</c:v>
                  </c:pt>
                  <c:pt idx="5">
                    <c:v>RO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</c:lvl>
              </c:multiLvlStrCache>
            </c:multiLvlStrRef>
          </c:cat>
          <c:val>
            <c:numRef>
              <c:f>'BR5'!$I$3:$I$13</c:f>
              <c:numCache>
                <c:formatCode>0.0%</c:formatCode>
                <c:ptCount val="11"/>
                <c:pt idx="0">
                  <c:v>2.4070471545606483E-2</c:v>
                </c:pt>
                <c:pt idx="1">
                  <c:v>0.14220346877825574</c:v>
                </c:pt>
                <c:pt idx="2">
                  <c:v>0.19193358358221221</c:v>
                </c:pt>
                <c:pt idx="3">
                  <c:v>3.8386716716442441E-2</c:v>
                </c:pt>
                <c:pt idx="4">
                  <c:v>1.4877935172753922E-2</c:v>
                </c:pt>
                <c:pt idx="6">
                  <c:v>3.8386716716442441E-2</c:v>
                </c:pt>
                <c:pt idx="7">
                  <c:v>0.19193358358221221</c:v>
                </c:pt>
                <c:pt idx="8">
                  <c:v>0.19193358358221221</c:v>
                </c:pt>
                <c:pt idx="9">
                  <c:v>0.14220346877825574</c:v>
                </c:pt>
                <c:pt idx="10">
                  <c:v>2.4070471545606483E-2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B68-420F-8B03-3A2256657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OH-reactivity of positions</a:t>
            </a:r>
          </a:p>
          <a:p>
            <a:pPr>
              <a:defRPr/>
            </a:pPr>
            <a:r>
              <a:rPr lang="en-US"/>
              <a:t>in decane-nitrates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BR_all!$A$3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BR_all!$B$3:$F$3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1.757E-13</c:v>
                </c:pt>
                <c:pt idx="3">
                  <c:v>1.757E-13</c:v>
                </c:pt>
                <c:pt idx="4">
                  <c:v>1.757E-13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69-4D09-B639-A28346AE2BEE}"/>
            </c:ext>
          </c:extLst>
        </c:ser>
        <c:ser>
          <c:idx val="2"/>
          <c:order val="1"/>
          <c:tx>
            <c:strRef>
              <c:f>BR_all!$A$4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BR_all!$B$4:$F$4</c:f>
              <c:numCache>
                <c:formatCode>0.00E+00</c:formatCode>
                <c:ptCount val="5"/>
                <c:pt idx="0">
                  <c:v>2.8139999999999999E-13</c:v>
                </c:pt>
                <c:pt idx="1">
                  <c:v>0</c:v>
                </c:pt>
                <c:pt idx="2">
                  <c:v>2.0759999999999999E-13</c:v>
                </c:pt>
                <c:pt idx="3">
                  <c:v>1.038E-12</c:v>
                </c:pt>
                <c:pt idx="4">
                  <c:v>1.038E-12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69-4D09-B639-A28346AE2BEE}"/>
            </c:ext>
          </c:extLst>
        </c:ser>
        <c:ser>
          <c:idx val="3"/>
          <c:order val="2"/>
          <c:tx>
            <c:strRef>
              <c:f>BR_all!$A$5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BR_all!$B$5:$F$5</c:f>
              <c:numCache>
                <c:formatCode>0.00E+00</c:formatCode>
                <c:ptCount val="5"/>
                <c:pt idx="0">
                  <c:v>1.407E-12</c:v>
                </c:pt>
                <c:pt idx="1">
                  <c:v>2.84E-13</c:v>
                </c:pt>
                <c:pt idx="2">
                  <c:v>1.086E-13</c:v>
                </c:pt>
                <c:pt idx="3">
                  <c:v>2.8020000000000001E-13</c:v>
                </c:pt>
                <c:pt idx="4">
                  <c:v>1.401E-12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69-4D09-B639-A28346AE2BEE}"/>
            </c:ext>
          </c:extLst>
        </c:ser>
        <c:ser>
          <c:idx val="4"/>
          <c:order val="3"/>
          <c:tx>
            <c:strRef>
              <c:f>BR_all!$A$6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BR_all!$B$6:$F$6</c:f>
              <c:numCache>
                <c:formatCode>0.00E+00</c:formatCode>
                <c:ptCount val="5"/>
                <c:pt idx="0">
                  <c:v>1.407E-12</c:v>
                </c:pt>
                <c:pt idx="1">
                  <c:v>1.42E-12</c:v>
                </c:pt>
                <c:pt idx="2">
                  <c:v>2.8020000000000001E-13</c:v>
                </c:pt>
                <c:pt idx="3">
                  <c:v>1.086E-13</c:v>
                </c:pt>
                <c:pt idx="4">
                  <c:v>2.8020000000000001E-13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69-4D09-B639-A28346AE2BEE}"/>
            </c:ext>
          </c:extLst>
        </c:ser>
        <c:ser>
          <c:idx val="5"/>
          <c:order val="4"/>
          <c:tx>
            <c:strRef>
              <c:f>BR_all!$A$7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BR_all!$B$7:$F$7</c:f>
              <c:numCache>
                <c:formatCode>0.00E+00</c:formatCode>
                <c:ptCount val="5"/>
                <c:pt idx="0">
                  <c:v>1.407E-12</c:v>
                </c:pt>
                <c:pt idx="1">
                  <c:v>1.42E-12</c:v>
                </c:pt>
                <c:pt idx="2">
                  <c:v>1.401E-12</c:v>
                </c:pt>
                <c:pt idx="3">
                  <c:v>2.8020000000000001E-13</c:v>
                </c:pt>
                <c:pt idx="4">
                  <c:v>1.086E-13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E69-4D09-B639-A28346AE2BEE}"/>
            </c:ext>
          </c:extLst>
        </c:ser>
        <c:ser>
          <c:idx val="0"/>
          <c:order val="5"/>
          <c:tx>
            <c:strRef>
              <c:f>BR_all!$A$8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BR_all!$B$8:$F$8</c:f>
              <c:numCache>
                <c:formatCode>0.00E+00</c:formatCode>
                <c:ptCount val="5"/>
                <c:pt idx="0">
                  <c:v>1.407E-12</c:v>
                </c:pt>
                <c:pt idx="1">
                  <c:v>1.42E-12</c:v>
                </c:pt>
                <c:pt idx="2">
                  <c:v>1.401E-12</c:v>
                </c:pt>
                <c:pt idx="3">
                  <c:v>1.401E-12</c:v>
                </c:pt>
                <c:pt idx="4">
                  <c:v>2.8020000000000001E-13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69-4D09-B639-A28346AE2BEE}"/>
            </c:ext>
          </c:extLst>
        </c:ser>
        <c:ser>
          <c:idx val="6"/>
          <c:order val="6"/>
          <c:tx>
            <c:strRef>
              <c:f>BR_all!$A$9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BR_all!$B$9:$F$9</c:f>
              <c:numCache>
                <c:formatCode>0.00E+00</c:formatCode>
                <c:ptCount val="5"/>
                <c:pt idx="0">
                  <c:v>1.407E-12</c:v>
                </c:pt>
                <c:pt idx="1">
                  <c:v>1.42E-12</c:v>
                </c:pt>
                <c:pt idx="2">
                  <c:v>1.401E-12</c:v>
                </c:pt>
                <c:pt idx="3">
                  <c:v>1.401E-12</c:v>
                </c:pt>
                <c:pt idx="4">
                  <c:v>1.401E-12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69-4D09-B639-A28346AE2BEE}"/>
            </c:ext>
          </c:extLst>
        </c:ser>
        <c:ser>
          <c:idx val="7"/>
          <c:order val="7"/>
          <c:tx>
            <c:strRef>
              <c:f>BR_all!$A$10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BR_all!$B$10:$F$10</c:f>
              <c:numCache>
                <c:formatCode>0.00E+00</c:formatCode>
                <c:ptCount val="5"/>
                <c:pt idx="0">
                  <c:v>1.407E-12</c:v>
                </c:pt>
                <c:pt idx="1">
                  <c:v>1.42E-12</c:v>
                </c:pt>
                <c:pt idx="2">
                  <c:v>1.401E-12</c:v>
                </c:pt>
                <c:pt idx="3">
                  <c:v>1.401E-12</c:v>
                </c:pt>
                <c:pt idx="4">
                  <c:v>1.401E-12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E69-4D09-B639-A28346AE2BEE}"/>
            </c:ext>
          </c:extLst>
        </c:ser>
        <c:ser>
          <c:idx val="8"/>
          <c:order val="8"/>
          <c:tx>
            <c:strRef>
              <c:f>BR_all!$A$11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BR_all!$B$11:$F$11</c:f>
              <c:numCache>
                <c:formatCode>0.00E+00</c:formatCode>
                <c:ptCount val="5"/>
                <c:pt idx="0">
                  <c:v>1.042E-12</c:v>
                </c:pt>
                <c:pt idx="1">
                  <c:v>1.052E-12</c:v>
                </c:pt>
                <c:pt idx="2">
                  <c:v>1.038E-12</c:v>
                </c:pt>
                <c:pt idx="3">
                  <c:v>1.038E-12</c:v>
                </c:pt>
                <c:pt idx="4">
                  <c:v>1.038E-12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69-4D09-B639-A28346AE2BEE}"/>
            </c:ext>
          </c:extLst>
        </c:ser>
        <c:ser>
          <c:idx val="9"/>
          <c:order val="9"/>
          <c:tx>
            <c:strRef>
              <c:f>BR_all!$A$12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BR_all!$B$1:$F$1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BR_all!$B$12:$F$12</c:f>
              <c:numCache>
                <c:formatCode>0.00E+00</c:formatCode>
                <c:ptCount val="5"/>
                <c:pt idx="0">
                  <c:v>1.7640000000000001E-13</c:v>
                </c:pt>
                <c:pt idx="1">
                  <c:v>1.78E-13</c:v>
                </c:pt>
                <c:pt idx="2">
                  <c:v>1.757E-13</c:v>
                </c:pt>
                <c:pt idx="3">
                  <c:v>1.757E-13</c:v>
                </c:pt>
                <c:pt idx="4">
                  <c:v>1.757E-13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69-4D09-B639-A28346AE2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8640143"/>
        <c:axId val="1828636399"/>
      </c:barChart>
      <c:catAx>
        <c:axId val="1828640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8636399"/>
        <c:crosses val="autoZero"/>
        <c:auto val="1"/>
        <c:lblAlgn val="ctr"/>
        <c:lblOffset val="100"/>
        <c:noMultiLvlLbl val="0"/>
      </c:catAx>
      <c:valAx>
        <c:axId val="1828636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86401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soa yields &amp; isomer fates: 1gen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paths_all!$A$3</c:f>
              <c:strCache>
                <c:ptCount val="1"/>
                <c:pt idx="0">
                  <c:v>ISOM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paths_all!$B$3:$F$3</c:f>
              <c:numCache>
                <c:formatCode>0.00E+00</c:formatCode>
                <c:ptCount val="5"/>
                <c:pt idx="0">
                  <c:v>9156097270839.3008</c:v>
                </c:pt>
                <c:pt idx="1">
                  <c:v>7756543614305.4004</c:v>
                </c:pt>
                <c:pt idx="2">
                  <c:v>6786203536289.2998</c:v>
                </c:pt>
                <c:pt idx="3">
                  <c:v>6290022123539.5</c:v>
                </c:pt>
                <c:pt idx="4">
                  <c:v>4950185323551.5996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59-4FBC-AAF8-CD1C447F6567}"/>
            </c:ext>
          </c:extLst>
        </c:ser>
        <c:ser>
          <c:idx val="2"/>
          <c:order val="1"/>
          <c:tx>
            <c:strRef>
              <c:f>paths_all!$A$4</c:f>
              <c:strCache>
                <c:ptCount val="1"/>
                <c:pt idx="0">
                  <c:v>DINITR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paths_all!$B$4:$F$4</c:f>
              <c:numCache>
                <c:formatCode>0.00E+00</c:formatCode>
                <c:ptCount val="5"/>
                <c:pt idx="0">
                  <c:v>3266393900000</c:v>
                </c:pt>
                <c:pt idx="1">
                  <c:v>3020306800000</c:v>
                </c:pt>
                <c:pt idx="2">
                  <c:v>2774793700000</c:v>
                </c:pt>
                <c:pt idx="3">
                  <c:v>2955850200000</c:v>
                </c:pt>
                <c:pt idx="4">
                  <c:v>2622827600000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59-4FBC-AAF8-CD1C447F6567}"/>
            </c:ext>
          </c:extLst>
        </c:ser>
        <c:ser>
          <c:idx val="3"/>
          <c:order val="2"/>
          <c:tx>
            <c:strRef>
              <c:f>paths_all!$A$5</c:f>
              <c:strCache>
                <c:ptCount val="1"/>
                <c:pt idx="0">
                  <c:v>HYDROXY-CARBONYL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paths_all!$B$5:$F$5</c:f>
              <c:numCache>
                <c:formatCode>0.00E+00</c:formatCode>
                <c:ptCount val="5"/>
                <c:pt idx="0">
                  <c:v>212154800000</c:v>
                </c:pt>
                <c:pt idx="1">
                  <c:v>517915800000</c:v>
                </c:pt>
                <c:pt idx="2">
                  <c:v>549875600000</c:v>
                </c:pt>
                <c:pt idx="3">
                  <c:v>1658279100000</c:v>
                </c:pt>
                <c:pt idx="4">
                  <c:v>1291298400000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59-4FBC-AAF8-CD1C447F6567}"/>
            </c:ext>
          </c:extLst>
        </c:ser>
        <c:ser>
          <c:idx val="4"/>
          <c:order val="3"/>
          <c:tx>
            <c:strRef>
              <c:f>paths_all!$A$6</c:f>
              <c:strCache>
                <c:ptCount val="1"/>
                <c:pt idx="0">
                  <c:v>NITRATE-CARBONYL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val>
            <c:numRef>
              <c:f>paths_all!$B$6:$F$6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59-4FBC-AAF8-CD1C447F6567}"/>
            </c:ext>
          </c:extLst>
        </c:ser>
        <c:ser>
          <c:idx val="7"/>
          <c:order val="4"/>
          <c:tx>
            <c:strRef>
              <c:f>paths_all!$A$7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 w="25400">
              <a:noFill/>
            </a:ln>
            <a:effectLst/>
          </c:spPr>
          <c:invertIfNegative val="0"/>
          <c:val>
            <c:numRef>
              <c:f>paths_all!$B$7:$F$7</c:f>
              <c:numCache>
                <c:formatCode>0.00E+00</c:formatCode>
                <c:ptCount val="5"/>
                <c:pt idx="0">
                  <c:v>1001174.2</c:v>
                </c:pt>
                <c:pt idx="1">
                  <c:v>5370772.2599999998</c:v>
                </c:pt>
                <c:pt idx="2">
                  <c:v>98125515500</c:v>
                </c:pt>
                <c:pt idx="3">
                  <c:v>150369193600</c:v>
                </c:pt>
                <c:pt idx="4">
                  <c:v>100138111500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BC-441F-AC56-AB864F8E6733}"/>
            </c:ext>
          </c:extLst>
        </c:ser>
        <c:ser>
          <c:idx val="5"/>
          <c:order val="5"/>
          <c:tx>
            <c:strRef>
              <c:f>paths_all!$A$8</c:f>
              <c:strCache>
                <c:ptCount val="1"/>
                <c:pt idx="0">
                  <c:v>DECOMP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paths_all!$B$8:$F$8</c:f>
              <c:numCache>
                <c:formatCode>0.00E+00</c:formatCode>
                <c:ptCount val="5"/>
                <c:pt idx="0">
                  <c:v>0</c:v>
                </c:pt>
                <c:pt idx="1">
                  <c:v>97812102108.199997</c:v>
                </c:pt>
                <c:pt idx="2">
                  <c:v>183612074961.20001</c:v>
                </c:pt>
                <c:pt idx="3">
                  <c:v>521385549335</c:v>
                </c:pt>
                <c:pt idx="4">
                  <c:v>115641501437.8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59-4FBC-AAF8-CD1C447F65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96887823"/>
        <c:axId val="1496890735"/>
      </c:barChart>
      <c:lineChart>
        <c:grouping val="standard"/>
        <c:varyColors val="0"/>
        <c:ser>
          <c:idx val="0"/>
          <c:order val="6"/>
          <c:tx>
            <c:strRef>
              <c:f>paths_all!$A$11</c:f>
              <c:strCache>
                <c:ptCount val="1"/>
                <c:pt idx="0">
                  <c:v>[SOA]/d[gas]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plus"/>
            <c:size val="9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paths_all!$B$11:$F$11</c:f>
              <c:numCache>
                <c:formatCode>0.000</c:formatCode>
                <c:ptCount val="5"/>
                <c:pt idx="0" formatCode="0.00">
                  <c:v>0.80018295193880384</c:v>
                </c:pt>
                <c:pt idx="1">
                  <c:v>0.69840625150977431</c:v>
                </c:pt>
                <c:pt idx="2">
                  <c:v>0.64303929422217865</c:v>
                </c:pt>
                <c:pt idx="3" formatCode="0.00">
                  <c:v>0.64450936081868127</c:v>
                </c:pt>
                <c:pt idx="4" formatCode="0.00">
                  <c:v>0.47699611628561339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FBC-AAF8-CD1C447F6567}"/>
            </c:ext>
          </c:extLst>
        </c:ser>
        <c:ser>
          <c:idx val="6"/>
          <c:order val="7"/>
          <c:tx>
            <c:strRef>
              <c:f>paths_all!$A$13</c:f>
              <c:strCache>
                <c:ptCount val="1"/>
                <c:pt idx="0">
                  <c:v>mass_SOA/d_mass_gas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paths_all!$B$13:$F$13</c:f>
              <c:numCache>
                <c:formatCode>0.000</c:formatCode>
                <c:ptCount val="5"/>
                <c:pt idx="0" formatCode="0.00">
                  <c:v>0.96154021948834389</c:v>
                </c:pt>
                <c:pt idx="1">
                  <c:v>0.83692887891243439</c:v>
                </c:pt>
                <c:pt idx="2">
                  <c:v>0.7712785188877449</c:v>
                </c:pt>
                <c:pt idx="3" formatCode="0.00">
                  <c:v>0.77261742131232602</c:v>
                </c:pt>
                <c:pt idx="4" formatCode="0.00">
                  <c:v>0.57474570237210476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E59-4FBC-AAF8-CD1C447F65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887823"/>
        <c:axId val="149689073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81761216977877738"/>
          <c:w val="0.95149510455226172"/>
          <c:h val="0.182387830221222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soa yields &amp; isomer fates: 3gen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paths_all!$A$19</c:f>
              <c:strCache>
                <c:ptCount val="1"/>
                <c:pt idx="0">
                  <c:v>ISOM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paths_all!$B$19:$F$19</c:f>
              <c:numCache>
                <c:formatCode>0.00E+00</c:formatCode>
                <c:ptCount val="5"/>
                <c:pt idx="0">
                  <c:v>9374749225216.5996</c:v>
                </c:pt>
                <c:pt idx="1">
                  <c:v>8164762341759.2998</c:v>
                </c:pt>
                <c:pt idx="2">
                  <c:v>7098079531974.9004</c:v>
                </c:pt>
                <c:pt idx="3">
                  <c:v>6037319603027.2998</c:v>
                </c:pt>
                <c:pt idx="4">
                  <c:v>5168248092553.2002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78-4EEE-992B-97A5973A4DF2}"/>
            </c:ext>
          </c:extLst>
        </c:ser>
        <c:ser>
          <c:idx val="2"/>
          <c:order val="1"/>
          <c:tx>
            <c:strRef>
              <c:f>paths_all!$A$20</c:f>
              <c:strCache>
                <c:ptCount val="1"/>
                <c:pt idx="0">
                  <c:v>DINITR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paths_all!$B$20:$F$20</c:f>
              <c:numCache>
                <c:formatCode>0.00E+00</c:formatCode>
                <c:ptCount val="5"/>
                <c:pt idx="0">
                  <c:v>3372148800000</c:v>
                </c:pt>
                <c:pt idx="1">
                  <c:v>3347238700000</c:v>
                </c:pt>
                <c:pt idx="2">
                  <c:v>3042271500000</c:v>
                </c:pt>
                <c:pt idx="3">
                  <c:v>2676484300000</c:v>
                </c:pt>
                <c:pt idx="4">
                  <c:v>2935000600000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78-4EEE-992B-97A5973A4DF2}"/>
            </c:ext>
          </c:extLst>
        </c:ser>
        <c:ser>
          <c:idx val="3"/>
          <c:order val="2"/>
          <c:tx>
            <c:strRef>
              <c:f>paths_all!$A$21</c:f>
              <c:strCache>
                <c:ptCount val="1"/>
                <c:pt idx="0">
                  <c:v>HYDROXY-CARBONYL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paths_all!$B$21:$F$21</c:f>
              <c:numCache>
                <c:formatCode>0.00E+00</c:formatCode>
                <c:ptCount val="5"/>
                <c:pt idx="0">
                  <c:v>577903200000</c:v>
                </c:pt>
                <c:pt idx="1">
                  <c:v>1106811700000</c:v>
                </c:pt>
                <c:pt idx="2">
                  <c:v>1151903400000</c:v>
                </c:pt>
                <c:pt idx="3">
                  <c:v>803770400000</c:v>
                </c:pt>
                <c:pt idx="4">
                  <c:v>2629569800000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78-4EEE-992B-97A5973A4DF2}"/>
            </c:ext>
          </c:extLst>
        </c:ser>
        <c:ser>
          <c:idx val="4"/>
          <c:order val="3"/>
          <c:tx>
            <c:strRef>
              <c:f>paths_all!$A$22</c:f>
              <c:strCache>
                <c:ptCount val="1"/>
                <c:pt idx="0">
                  <c:v>NITRATE-CARBONYL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val>
            <c:numRef>
              <c:f>paths_all!$B$22:$F$22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78-4EEE-992B-97A5973A4DF2}"/>
            </c:ext>
          </c:extLst>
        </c:ser>
        <c:ser>
          <c:idx val="7"/>
          <c:order val="4"/>
          <c:tx>
            <c:strRef>
              <c:f>paths_all!$A$23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paths_all!$B$23:$F$23</c:f>
              <c:numCache>
                <c:formatCode>0.00E+00</c:formatCode>
                <c:ptCount val="5"/>
                <c:pt idx="0">
                  <c:v>0</c:v>
                </c:pt>
                <c:pt idx="1">
                  <c:v>4981789.0600000005</c:v>
                </c:pt>
                <c:pt idx="2">
                  <c:v>148080655000</c:v>
                </c:pt>
                <c:pt idx="3">
                  <c:v>100444712300</c:v>
                </c:pt>
                <c:pt idx="4">
                  <c:v>151265086100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78-4EEE-992B-97A5973A4DF2}"/>
            </c:ext>
          </c:extLst>
        </c:ser>
        <c:ser>
          <c:idx val="5"/>
          <c:order val="5"/>
          <c:tx>
            <c:strRef>
              <c:f>paths_all!$A$24</c:f>
              <c:strCache>
                <c:ptCount val="1"/>
                <c:pt idx="0">
                  <c:v>DECOMP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paths_all!$B$24:$F$24</c:f>
              <c:numCache>
                <c:formatCode>0.00E+00</c:formatCode>
                <c:ptCount val="5"/>
                <c:pt idx="0">
                  <c:v>0</c:v>
                </c:pt>
                <c:pt idx="1">
                  <c:v>238319742982.79999</c:v>
                </c:pt>
                <c:pt idx="2">
                  <c:v>492998101638.09998</c:v>
                </c:pt>
                <c:pt idx="3">
                  <c:v>172322158271.70001</c:v>
                </c:pt>
                <c:pt idx="4">
                  <c:v>439644578298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78-4EEE-992B-97A5973A4D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96887823"/>
        <c:axId val="1496890735"/>
      </c:barChart>
      <c:lineChart>
        <c:grouping val="standard"/>
        <c:varyColors val="0"/>
        <c:ser>
          <c:idx val="0"/>
          <c:order val="6"/>
          <c:tx>
            <c:strRef>
              <c:f>paths_all!$A$27</c:f>
              <c:strCache>
                <c:ptCount val="1"/>
                <c:pt idx="0">
                  <c:v>[SOA]/d[gas]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lus"/>
            <c:size val="9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paths_all!$B$27:$F$27</c:f>
              <c:numCache>
                <c:formatCode>0.00</c:formatCode>
                <c:ptCount val="5"/>
                <c:pt idx="0">
                  <c:v>0.89122413727407823</c:v>
                </c:pt>
                <c:pt idx="1">
                  <c:v>0.77804685266468221</c:v>
                </c:pt>
                <c:pt idx="2">
                  <c:v>0.71072886501446131</c:v>
                </c:pt>
                <c:pt idx="3">
                  <c:v>0.5816077953714982</c:v>
                </c:pt>
                <c:pt idx="4">
                  <c:v>0.53638898059498918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678-4EEE-992B-97A5973A4DF2}"/>
            </c:ext>
          </c:extLst>
        </c:ser>
        <c:ser>
          <c:idx val="6"/>
          <c:order val="7"/>
          <c:tx>
            <c:strRef>
              <c:f>paths_all!$A$29</c:f>
              <c:strCache>
                <c:ptCount val="1"/>
                <c:pt idx="0">
                  <c:v>mass_SOA/d_mass_gas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paths_all!$B$29:$F$29</c:f>
              <c:numCache>
                <c:formatCode>0.00</c:formatCode>
                <c:ptCount val="5"/>
                <c:pt idx="0">
                  <c:v>1.0676736519258032</c:v>
                </c:pt>
                <c:pt idx="1">
                  <c:v>0.93015849487223501</c:v>
                </c:pt>
                <c:pt idx="2">
                  <c:v>0.85019135915913657</c:v>
                </c:pt>
                <c:pt idx="3">
                  <c:v>0.69913011390141555</c:v>
                </c:pt>
                <c:pt idx="4">
                  <c:v>0.64360993829182611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678-4EEE-992B-97A5973A4D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887823"/>
        <c:axId val="149689073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81761216977877738"/>
          <c:w val="0.95149510455226172"/>
          <c:h val="0.182387830221222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soa yields &amp; isomer fates: 1gen DHF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paths_all_DHF!$A$3</c:f>
              <c:strCache>
                <c:ptCount val="1"/>
                <c:pt idx="0">
                  <c:v>ISOM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paths_all_DHF!$B$3:$F$3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3-4DB6-BE2F-95C12F60F77F}"/>
            </c:ext>
          </c:extLst>
        </c:ser>
        <c:ser>
          <c:idx val="2"/>
          <c:order val="1"/>
          <c:tx>
            <c:strRef>
              <c:f>paths_all_DHF!$A$5</c:f>
              <c:strCache>
                <c:ptCount val="1"/>
                <c:pt idx="0">
                  <c:v>DINITR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paths_all_DHF!$B$5:$F$5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3-4DB6-BE2F-95C12F60F77F}"/>
            </c:ext>
          </c:extLst>
        </c:ser>
        <c:ser>
          <c:idx val="8"/>
          <c:order val="2"/>
          <c:tx>
            <c:strRef>
              <c:f>paths_all_DHF!$A$4</c:f>
              <c:strCache>
                <c:ptCount val="1"/>
                <c:pt idx="0">
                  <c:v>CYCLIC HEMIACETALS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paths_all_DHF!$B$4:$F$4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33-4DB6-BE2F-95C12F60F77F}"/>
            </c:ext>
          </c:extLst>
        </c:ser>
        <c:ser>
          <c:idx val="3"/>
          <c:order val="3"/>
          <c:tx>
            <c:strRef>
              <c:f>paths_all_DHF!$A$6</c:f>
              <c:strCache>
                <c:ptCount val="1"/>
                <c:pt idx="0">
                  <c:v>HYDROXY-CARBONYL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paths_all_DHF!$B$6:$F$6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3-4DB6-BE2F-95C12F60F77F}"/>
            </c:ext>
          </c:extLst>
        </c:ser>
        <c:ser>
          <c:idx val="4"/>
          <c:order val="4"/>
          <c:tx>
            <c:strRef>
              <c:f>paths_all_DHF!$A$7</c:f>
              <c:strCache>
                <c:ptCount val="1"/>
                <c:pt idx="0">
                  <c:v>NITRATE-CARBONYL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val>
            <c:numRef>
              <c:f>paths_all_DHF!$B$7:$F$7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33-4DB6-BE2F-95C12F60F77F}"/>
            </c:ext>
          </c:extLst>
        </c:ser>
        <c:ser>
          <c:idx val="7"/>
          <c:order val="5"/>
          <c:tx>
            <c:strRef>
              <c:f>paths_all_DHF!$A$8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 w="25400">
              <a:noFill/>
            </a:ln>
            <a:effectLst/>
          </c:spPr>
          <c:invertIfNegative val="0"/>
          <c:val>
            <c:numRef>
              <c:f>paths_all_DHF!$B$8:$F$8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33-4DB6-BE2F-95C12F60F77F}"/>
            </c:ext>
          </c:extLst>
        </c:ser>
        <c:ser>
          <c:idx val="5"/>
          <c:order val="6"/>
          <c:tx>
            <c:strRef>
              <c:f>paths_all_DHF!$A$9</c:f>
              <c:strCache>
                <c:ptCount val="1"/>
                <c:pt idx="0">
                  <c:v>DECOMP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paths_all_DHF!$B$9:$F$9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B33-4DB6-BE2F-95C12F60F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96887823"/>
        <c:axId val="1496890735"/>
      </c:barChart>
      <c:lineChart>
        <c:grouping val="standard"/>
        <c:varyColors val="0"/>
        <c:ser>
          <c:idx val="0"/>
          <c:order val="7"/>
          <c:tx>
            <c:strRef>
              <c:f>paths_all_DHF!$A$12</c:f>
              <c:strCache>
                <c:ptCount val="1"/>
                <c:pt idx="0">
                  <c:v>[SOA]/d[gas]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plus"/>
            <c:size val="9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paths_all_DHF!$B$12:$F$12</c:f>
              <c:numCache>
                <c:formatCode>0.00</c:formatCode>
                <c:ptCount val="5"/>
                <c:pt idx="0">
                  <c:v>0.70650890940953293</c:v>
                </c:pt>
                <c:pt idx="1">
                  <c:v>0.6638047170710597</c:v>
                </c:pt>
                <c:pt idx="2">
                  <c:v>0.63703168119205889</c:v>
                </c:pt>
                <c:pt idx="3">
                  <c:v>0.64531049092069603</c:v>
                </c:pt>
                <c:pt idx="4">
                  <c:v>0.54248896929865043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B33-4DB6-BE2F-95C12F60F77F}"/>
            </c:ext>
          </c:extLst>
        </c:ser>
        <c:ser>
          <c:idx val="6"/>
          <c:order val="8"/>
          <c:tx>
            <c:strRef>
              <c:f>paths_all_DHF!$A$14</c:f>
              <c:strCache>
                <c:ptCount val="1"/>
                <c:pt idx="0">
                  <c:v>mass_SOA/d_mass_gas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paths_all_DHF!$B$14:$F$14</c:f>
              <c:numCache>
                <c:formatCode>0.00</c:formatCode>
                <c:ptCount val="5"/>
                <c:pt idx="0">
                  <c:v>0.83967542399839701</c:v>
                </c:pt>
                <c:pt idx="1">
                  <c:v>0.77771384828096179</c:v>
                </c:pt>
                <c:pt idx="2">
                  <c:v>0.7438271955736947</c:v>
                </c:pt>
                <c:pt idx="3">
                  <c:v>0.74622423593081888</c:v>
                </c:pt>
                <c:pt idx="4">
                  <c:v>0.62567772864820626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B33-4DB6-BE2F-95C12F60F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887823"/>
        <c:axId val="149689073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81761216977877738"/>
          <c:w val="0.97438618933733789"/>
          <c:h val="0.182387830221222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soa yields &amp; isomer fates: 2-3gen DHF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paths_all_DHF!$A$20</c:f>
              <c:strCache>
                <c:ptCount val="1"/>
                <c:pt idx="0">
                  <c:v>ISOM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paths_all_DHF!$B$20:$F$20</c:f>
              <c:numCache>
                <c:formatCode>0.00E+00</c:formatCode>
                <c:ptCount val="5"/>
                <c:pt idx="0">
                  <c:v>10847953467504.18</c:v>
                </c:pt>
                <c:pt idx="1">
                  <c:v>7741068474187.2139</c:v>
                </c:pt>
                <c:pt idx="2">
                  <c:v>0</c:v>
                </c:pt>
                <c:pt idx="3">
                  <c:v>7427720238851.6553</c:v>
                </c:pt>
                <c:pt idx="4">
                  <c:v>7068460264363.8457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08-4E46-B027-FD3CE1DCAE5D}"/>
            </c:ext>
          </c:extLst>
        </c:ser>
        <c:ser>
          <c:idx val="2"/>
          <c:order val="1"/>
          <c:tx>
            <c:strRef>
              <c:f>paths_all_DHF!$A$22</c:f>
              <c:strCache>
                <c:ptCount val="1"/>
                <c:pt idx="0">
                  <c:v>DINITR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paths_all_DHF!$B$22:$F$22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2691881551409.0439</c:v>
                </c:pt>
                <c:pt idx="4">
                  <c:v>2674939572616.0098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08-4E46-B027-FD3CE1DCAE5D}"/>
            </c:ext>
          </c:extLst>
        </c:ser>
        <c:ser>
          <c:idx val="8"/>
          <c:order val="2"/>
          <c:tx>
            <c:strRef>
              <c:f>paths_all_DHF!$A$21</c:f>
              <c:strCache>
                <c:ptCount val="1"/>
                <c:pt idx="0">
                  <c:v>CYCLIC HEMIACETALS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paths_all_DHF!$B$21:$F$21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657712196078.49731</c:v>
                </c:pt>
                <c:pt idx="4">
                  <c:v>536950253628.52307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608-4E46-B027-FD3CE1DCAE5D}"/>
            </c:ext>
          </c:extLst>
        </c:ser>
        <c:ser>
          <c:idx val="3"/>
          <c:order val="3"/>
          <c:tx>
            <c:strRef>
              <c:f>paths_all_DHF!$A$23</c:f>
              <c:strCache>
                <c:ptCount val="1"/>
                <c:pt idx="0">
                  <c:v>HYDROXY-CARBONYL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paths_all_DHF!$B$23:$F$23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401794794678.70001</c:v>
                </c:pt>
                <c:pt idx="4">
                  <c:v>659418959310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08-4E46-B027-FD3CE1DCAE5D}"/>
            </c:ext>
          </c:extLst>
        </c:ser>
        <c:ser>
          <c:idx val="4"/>
          <c:order val="4"/>
          <c:tx>
            <c:strRef>
              <c:f>paths_all_DHF!$A$24</c:f>
              <c:strCache>
                <c:ptCount val="1"/>
                <c:pt idx="0">
                  <c:v>NITRATE-CARBONYL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val>
            <c:numRef>
              <c:f>paths_all_DHF!$B$24:$F$24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1683759327.2029002</c:v>
                </c:pt>
                <c:pt idx="4">
                  <c:v>3462932040.9616003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08-4E46-B027-FD3CE1DCAE5D}"/>
            </c:ext>
          </c:extLst>
        </c:ser>
        <c:ser>
          <c:idx val="7"/>
          <c:order val="5"/>
          <c:tx>
            <c:strRef>
              <c:f>paths_all_DHF!$A$25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paths_all_DHF!$B$25:$F$25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100014924000</c:v>
                </c:pt>
                <c:pt idx="4">
                  <c:v>100037432800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08-4E46-B027-FD3CE1DCAE5D}"/>
            </c:ext>
          </c:extLst>
        </c:ser>
        <c:ser>
          <c:idx val="5"/>
          <c:order val="6"/>
          <c:tx>
            <c:strRef>
              <c:f>paths_all_DHF!$A$26</c:f>
              <c:strCache>
                <c:ptCount val="1"/>
                <c:pt idx="0">
                  <c:v>DECOMP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paths_all_DHF!$B$26:$F$26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2361370908846.0356</c:v>
                </c:pt>
                <c:pt idx="4">
                  <c:v>2180868273642.4983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608-4E46-B027-FD3CE1DCA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96887823"/>
        <c:axId val="1496890735"/>
      </c:barChart>
      <c:lineChart>
        <c:grouping val="standard"/>
        <c:varyColors val="0"/>
        <c:ser>
          <c:idx val="0"/>
          <c:order val="7"/>
          <c:tx>
            <c:strRef>
              <c:f>paths_all_DHF!$A$29</c:f>
              <c:strCache>
                <c:ptCount val="1"/>
                <c:pt idx="0">
                  <c:v>[SOA]/d[gas]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lus"/>
            <c:size val="9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paths_all_DHF!$B$29:$F$29</c:f>
              <c:numCache>
                <c:formatCode>0.00</c:formatCode>
                <c:ptCount val="5"/>
                <c:pt idx="0">
                  <c:v>0.68873508364506342</c:v>
                </c:pt>
                <c:pt idx="1">
                  <c:v>0.60415954280916417</c:v>
                </c:pt>
                <c:pt idx="2">
                  <c:v>0.67930748704498056</c:v>
                </c:pt>
                <c:pt idx="3">
                  <c:v>0.5467124187238136</c:v>
                </c:pt>
                <c:pt idx="4">
                  <c:v>0.48953578982522544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08-4E46-B027-FD3CE1DCAE5D}"/>
            </c:ext>
          </c:extLst>
        </c:ser>
        <c:ser>
          <c:idx val="6"/>
          <c:order val="8"/>
          <c:tx>
            <c:strRef>
              <c:f>paths_all_DHF!$A$31</c:f>
              <c:strCache>
                <c:ptCount val="1"/>
                <c:pt idx="0">
                  <c:v>mass_SOA/d_mass_gas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paths_all_DHF!$B$31:$F$31</c:f>
              <c:numCache>
                <c:formatCode>0.00</c:formatCode>
                <c:ptCount val="5"/>
                <c:pt idx="0">
                  <c:v>0.84953697190440602</c:v>
                </c:pt>
                <c:pt idx="1">
                  <c:v>0.74220907826663352</c:v>
                </c:pt>
                <c:pt idx="2">
                  <c:v>0.80778734494796767</c:v>
                </c:pt>
                <c:pt idx="3">
                  <c:v>0.68309280867911737</c:v>
                </c:pt>
                <c:pt idx="4">
                  <c:v>0.60736405083622336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08-4E46-B027-FD3CE1DCA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887823"/>
        <c:axId val="149689073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81761216977877738"/>
          <c:w val="0.62774976259189907"/>
          <c:h val="0.182387830221222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decane-nitrate products, 2g DHF @ 60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2"/>
          <c:order val="0"/>
          <c:tx>
            <c:strRef>
              <c:f>'paths_all (DHF_multi_g)'!$A$24</c:f>
              <c:strCache>
                <c:ptCount val="1"/>
                <c:pt idx="0">
                  <c:v>ISOM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'paths_all (DHF_multi_g)'!$B$24:$F$24</c:f>
              <c:numCache>
                <c:formatCode>0.00E+00</c:formatCode>
                <c:ptCount val="5"/>
                <c:pt idx="0">
                  <c:v>9783530496179.5332</c:v>
                </c:pt>
                <c:pt idx="1">
                  <c:v>5513171793032.7734</c:v>
                </c:pt>
                <c:pt idx="2">
                  <c:v>4052371471526.2173</c:v>
                </c:pt>
                <c:pt idx="3">
                  <c:v>3227482059871.6196</c:v>
                </c:pt>
                <c:pt idx="4">
                  <c:v>2939796711938.104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60-4E06-92FE-86744EE04ECA}"/>
            </c:ext>
          </c:extLst>
        </c:ser>
        <c:ser>
          <c:idx val="3"/>
          <c:order val="1"/>
          <c:tx>
            <c:strRef>
              <c:f>'paths_all (DHF_multi_g)'!$A$25</c:f>
              <c:strCache>
                <c:ptCount val="1"/>
                <c:pt idx="0">
                  <c:v>NITR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'paths_all (DHF_multi_g)'!$B$25:$F$25</c:f>
              <c:numCache>
                <c:formatCode>0.00E+00</c:formatCode>
                <c:ptCount val="5"/>
                <c:pt idx="0">
                  <c:v>1435618620000</c:v>
                </c:pt>
                <c:pt idx="1">
                  <c:v>1107133100000</c:v>
                </c:pt>
                <c:pt idx="2">
                  <c:v>941168200000</c:v>
                </c:pt>
                <c:pt idx="3">
                  <c:v>915080300000</c:v>
                </c:pt>
                <c:pt idx="4">
                  <c:v>869100000000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60-4E06-92FE-86744EE04ECA}"/>
            </c:ext>
          </c:extLst>
        </c:ser>
        <c:ser>
          <c:idx val="4"/>
          <c:order val="2"/>
          <c:tx>
            <c:strRef>
              <c:f>'paths_all (DHF_multi_g)'!$A$26</c:f>
              <c:strCache>
                <c:ptCount val="1"/>
                <c:pt idx="0">
                  <c:v>CYCLIC HEMIACETAL</c:v>
                </c:pt>
              </c:strCache>
            </c:strRef>
          </c:tx>
          <c:spPr>
            <a:solidFill>
              <a:srgbClr val="00FFFF"/>
            </a:solidFill>
            <a:ln>
              <a:noFill/>
            </a:ln>
            <a:effectLst/>
          </c:spPr>
          <c:invertIfNegative val="0"/>
          <c:val>
            <c:numRef>
              <c:f>'paths_all (DHF_multi_g)'!$B$26:$F$26</c:f>
              <c:numCache>
                <c:formatCode>0.00E+00</c:formatCode>
                <c:ptCount val="5"/>
                <c:pt idx="0">
                  <c:v>1182929201855.0139</c:v>
                </c:pt>
                <c:pt idx="1">
                  <c:v>948339161502.17566</c:v>
                </c:pt>
                <c:pt idx="2">
                  <c:v>489902523732.40259</c:v>
                </c:pt>
                <c:pt idx="3">
                  <c:v>284286230167.56171</c:v>
                </c:pt>
                <c:pt idx="4">
                  <c:v>320201222727.89899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60-4E06-92FE-86744EE04ECA}"/>
            </c:ext>
          </c:extLst>
        </c:ser>
        <c:ser>
          <c:idx val="1"/>
          <c:order val="3"/>
          <c:tx>
            <c:strRef>
              <c:f>'paths_all (DHF_multi_g)'!$A$23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rgbClr val="9933FF"/>
            </a:solidFill>
            <a:ln>
              <a:noFill/>
            </a:ln>
            <a:effectLst/>
          </c:spPr>
          <c:invertIfNegative val="0"/>
          <c:val>
            <c:numRef>
              <c:f>'paths_all (DHF_multi_g)'!$B$23:$F$23</c:f>
              <c:numCache>
                <c:formatCode>0.00E+00</c:formatCode>
                <c:ptCount val="5"/>
                <c:pt idx="0">
                  <c:v>928393340000</c:v>
                </c:pt>
                <c:pt idx="1">
                  <c:v>3341148020000</c:v>
                </c:pt>
                <c:pt idx="2">
                  <c:v>5051844020000</c:v>
                </c:pt>
                <c:pt idx="3">
                  <c:v>5012998173000</c:v>
                </c:pt>
                <c:pt idx="4">
                  <c:v>5041256000000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60-4E06-92FE-86744EE04ECA}"/>
            </c:ext>
          </c:extLst>
        </c:ser>
        <c:ser>
          <c:idx val="5"/>
          <c:order val="4"/>
          <c:tx>
            <c:strRef>
              <c:f>'paths_all (DHF_multi_g)'!$A$27</c:f>
              <c:strCache>
                <c:ptCount val="1"/>
                <c:pt idx="0">
                  <c:v>DECOMP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'paths_all (DHF_multi_g)'!$B$27:$F$27</c:f>
              <c:numCache>
                <c:formatCode>0.00E+00</c:formatCode>
                <c:ptCount val="5"/>
                <c:pt idx="0">
                  <c:v>3106870073263.043</c:v>
                </c:pt>
                <c:pt idx="1">
                  <c:v>4579351985940.0137</c:v>
                </c:pt>
                <c:pt idx="2">
                  <c:v>7094380413565.7861</c:v>
                </c:pt>
                <c:pt idx="3">
                  <c:v>8624154286757.248</c:v>
                </c:pt>
                <c:pt idx="4">
                  <c:v>7251319141655.1787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60-4E06-92FE-86744EE04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496887823"/>
        <c:axId val="1496890735"/>
      </c:barChart>
      <c:lineChart>
        <c:grouping val="standard"/>
        <c:varyColors val="0"/>
        <c:ser>
          <c:idx val="0"/>
          <c:order val="5"/>
          <c:tx>
            <c:strRef>
              <c:f>'paths_all (DHF_multi_g)'!$A$34</c:f>
              <c:strCache>
                <c:ptCount val="1"/>
                <c:pt idx="0">
                  <c:v>measured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(DHF_multi_g)'!$B$34:$F$34</c:f>
              <c:numCache>
                <c:formatCode>0.000</c:formatCode>
                <c:ptCount val="5"/>
                <c:pt idx="0">
                  <c:v>0.63239999999999996</c:v>
                </c:pt>
                <c:pt idx="1">
                  <c:v>0.62</c:v>
                </c:pt>
                <c:pt idx="2">
                  <c:v>0.54559999999999997</c:v>
                </c:pt>
                <c:pt idx="3">
                  <c:v>0.34720000000000001</c:v>
                </c:pt>
                <c:pt idx="4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E60-4E06-92FE-86744EE04ECA}"/>
            </c:ext>
          </c:extLst>
        </c:ser>
        <c:ser>
          <c:idx val="6"/>
          <c:order val="6"/>
          <c:tx>
            <c:strRef>
              <c:f>'paths_all (DHF_multi_g)'!$A$32</c:f>
              <c:strCache>
                <c:ptCount val="1"/>
                <c:pt idx="0">
                  <c:v>modeled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(DHF_multi_g)'!$B$32:$F$32</c:f>
              <c:numCache>
                <c:formatCode>0.00</c:formatCode>
                <c:ptCount val="5"/>
                <c:pt idx="0">
                  <c:v>0.72492107416247376</c:v>
                </c:pt>
                <c:pt idx="1">
                  <c:v>0.53148870153894512</c:v>
                </c:pt>
                <c:pt idx="2">
                  <c:v>0.34472730460496098</c:v>
                </c:pt>
                <c:pt idx="3">
                  <c:v>0.23390827012737758</c:v>
                </c:pt>
                <c:pt idx="4">
                  <c:v>0.14188862800458862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E60-4E06-92FE-86744EE04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887823"/>
        <c:axId val="149689073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78039052248934859"/>
          <c:w val="0.94495479461366849"/>
          <c:h val="0.197276489136994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decane-nitrate products</a:t>
            </a:r>
          </a:p>
          <a:p>
            <a:pPr>
              <a:defRPr/>
            </a:pPr>
            <a:r>
              <a:rPr lang="en-US"/>
              <a:t> 2g DHF @ max SOA</a:t>
            </a:r>
          </a:p>
        </c:rich>
      </c:tx>
      <c:layout>
        <c:manualLayout>
          <c:xMode val="edge"/>
          <c:yMode val="edge"/>
          <c:x val="0.26663350163044264"/>
          <c:y val="3.72216472894287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2"/>
          <c:order val="0"/>
          <c:tx>
            <c:strRef>
              <c:f>'paths_all (DHF_multi_g)'!$A$24</c:f>
              <c:strCache>
                <c:ptCount val="1"/>
                <c:pt idx="0">
                  <c:v>ISOM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'paths_all (DHF_multi_g)'!$B$4:$F$4</c:f>
              <c:numCache>
                <c:formatCode>0.00E+00</c:formatCode>
                <c:ptCount val="5"/>
                <c:pt idx="0">
                  <c:v>3996637271243.8374</c:v>
                </c:pt>
                <c:pt idx="1">
                  <c:v>2680999088005.1084</c:v>
                </c:pt>
                <c:pt idx="2">
                  <c:v>2662030615326.4712</c:v>
                </c:pt>
                <c:pt idx="3">
                  <c:v>1939889029907.1157</c:v>
                </c:pt>
                <c:pt idx="4">
                  <c:v>1797048871290.2642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66-40A4-B8FE-F17D62B61992}"/>
            </c:ext>
          </c:extLst>
        </c:ser>
        <c:ser>
          <c:idx val="3"/>
          <c:order val="1"/>
          <c:tx>
            <c:strRef>
              <c:f>'paths_all (DHF_multi_g)'!$A$25</c:f>
              <c:strCache>
                <c:ptCount val="1"/>
                <c:pt idx="0">
                  <c:v>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'paths_all (DHF_multi_g)'!$B$5:$F$5</c:f>
              <c:numCache>
                <c:formatCode>0.00E+00</c:formatCode>
                <c:ptCount val="5"/>
                <c:pt idx="0">
                  <c:v>1304962390000</c:v>
                </c:pt>
                <c:pt idx="1">
                  <c:v>1036618340000</c:v>
                </c:pt>
                <c:pt idx="2">
                  <c:v>915241300000</c:v>
                </c:pt>
                <c:pt idx="3">
                  <c:v>899201300000</c:v>
                </c:pt>
                <c:pt idx="4">
                  <c:v>851500000000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66-40A4-B8FE-F17D62B61992}"/>
            </c:ext>
          </c:extLst>
        </c:ser>
        <c:ser>
          <c:idx val="4"/>
          <c:order val="2"/>
          <c:tx>
            <c:strRef>
              <c:f>'paths_all (DHF_multi_g)'!$A$26</c:f>
              <c:strCache>
                <c:ptCount val="1"/>
                <c:pt idx="0">
                  <c:v>CYCLIC HEMIACETAL</c:v>
                </c:pt>
              </c:strCache>
            </c:strRef>
          </c:tx>
          <c:spPr>
            <a:solidFill>
              <a:srgbClr val="00FFFF"/>
            </a:solidFill>
            <a:ln>
              <a:noFill/>
            </a:ln>
            <a:effectLst/>
          </c:spPr>
          <c:invertIfNegative val="0"/>
          <c:val>
            <c:numRef>
              <c:f>'paths_all (DHF_multi_g)'!$B$6:$F$6</c:f>
              <c:numCache>
                <c:formatCode>0.00E+00</c:formatCode>
                <c:ptCount val="5"/>
                <c:pt idx="0">
                  <c:v>10011074920852.998</c:v>
                </c:pt>
                <c:pt idx="1">
                  <c:v>7862524071492.9336</c:v>
                </c:pt>
                <c:pt idx="2">
                  <c:v>4232160483371.3511</c:v>
                </c:pt>
                <c:pt idx="3">
                  <c:v>2185367766428.1628</c:v>
                </c:pt>
                <c:pt idx="4">
                  <c:v>1452165142094.9463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66-40A4-B8FE-F17D62B61992}"/>
            </c:ext>
          </c:extLst>
        </c:ser>
        <c:ser>
          <c:idx val="1"/>
          <c:order val="3"/>
          <c:tx>
            <c:strRef>
              <c:f>'paths_all (DHF_multi_g)'!$A$23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rgbClr val="9933FF"/>
            </a:solidFill>
            <a:ln>
              <a:noFill/>
            </a:ln>
            <a:effectLst/>
          </c:spPr>
          <c:invertIfNegative val="0"/>
          <c:val>
            <c:numRef>
              <c:f>'paths_all (DHF_multi_g)'!$B$3:$F$3</c:f>
              <c:numCache>
                <c:formatCode>0.00E+00</c:formatCode>
                <c:ptCount val="5"/>
                <c:pt idx="0">
                  <c:v>1106303960000</c:v>
                </c:pt>
                <c:pt idx="1">
                  <c:v>3527513140000</c:v>
                </c:pt>
                <c:pt idx="2">
                  <c:v>5174088740000</c:v>
                </c:pt>
                <c:pt idx="3">
                  <c:v>5135523900000</c:v>
                </c:pt>
                <c:pt idx="4">
                  <c:v>5132110000000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66-40A4-B8FE-F17D62B61992}"/>
            </c:ext>
          </c:extLst>
        </c:ser>
        <c:ser>
          <c:idx val="5"/>
          <c:order val="4"/>
          <c:tx>
            <c:strRef>
              <c:f>'paths_all (DHF_multi_g)'!$A$27</c:f>
              <c:strCache>
                <c:ptCount val="1"/>
                <c:pt idx="0">
                  <c:v>DECOMP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'paths_all (DHF_multi_g)'!$B$7:$F$7</c:f>
              <c:numCache>
                <c:formatCode>0.00E+00</c:formatCode>
                <c:ptCount val="5"/>
                <c:pt idx="0">
                  <c:v>3084597003204.9385</c:v>
                </c:pt>
                <c:pt idx="1">
                  <c:v>5260530979485.6006</c:v>
                </c:pt>
                <c:pt idx="2">
                  <c:v>8504192345068.3203</c:v>
                </c:pt>
                <c:pt idx="3">
                  <c:v>10930408504752.111</c:v>
                </c:pt>
                <c:pt idx="4">
                  <c:v>10333192446421.285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66-40A4-B8FE-F17D62B61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496887823"/>
        <c:axId val="1496890735"/>
      </c:barChart>
      <c:lineChart>
        <c:grouping val="standard"/>
        <c:varyColors val="0"/>
        <c:ser>
          <c:idx val="0"/>
          <c:order val="5"/>
          <c:tx>
            <c:strRef>
              <c:f>'paths_all (DHF_multi_g)'!$A$34</c:f>
              <c:strCache>
                <c:ptCount val="1"/>
                <c:pt idx="0">
                  <c:v>measured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(DHF_multi_g)'!$B$34:$F$34</c:f>
              <c:numCache>
                <c:formatCode>0.000</c:formatCode>
                <c:ptCount val="5"/>
                <c:pt idx="0">
                  <c:v>0.63239999999999996</c:v>
                </c:pt>
                <c:pt idx="1">
                  <c:v>0.62</c:v>
                </c:pt>
                <c:pt idx="2">
                  <c:v>0.54559999999999997</c:v>
                </c:pt>
                <c:pt idx="3">
                  <c:v>0.34720000000000001</c:v>
                </c:pt>
                <c:pt idx="4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366-40A4-B8FE-F17D62B61992}"/>
            </c:ext>
          </c:extLst>
        </c:ser>
        <c:ser>
          <c:idx val="6"/>
          <c:order val="6"/>
          <c:tx>
            <c:strRef>
              <c:f>'paths_all (DHF_multi_g)'!$A$32</c:f>
              <c:strCache>
                <c:ptCount val="1"/>
                <c:pt idx="0">
                  <c:v>modeled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(DHF_multi_g)'!$B$32:$F$32</c:f>
              <c:numCache>
                <c:formatCode>0.00</c:formatCode>
                <c:ptCount val="5"/>
                <c:pt idx="0">
                  <c:v>0.72492107416247376</c:v>
                </c:pt>
                <c:pt idx="1">
                  <c:v>0.53148870153894512</c:v>
                </c:pt>
                <c:pt idx="2">
                  <c:v>0.34472730460496098</c:v>
                </c:pt>
                <c:pt idx="3">
                  <c:v>0.23390827012737758</c:v>
                </c:pt>
                <c:pt idx="4">
                  <c:v>0.14188862800458862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366-40A4-B8FE-F17D62B61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887823"/>
        <c:axId val="149689073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78039052248934859"/>
          <c:w val="0.94495479461366849"/>
          <c:h val="0.197276489136994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1st</a:t>
            </a:r>
            <a:r>
              <a:rPr lang="en-US" baseline="0"/>
              <a:t> generation</a:t>
            </a:r>
            <a:r>
              <a:rPr lang="en-US"/>
              <a:t> products @ 60 m</a:t>
            </a:r>
          </a:p>
          <a:p>
            <a:pPr>
              <a:defRPr/>
            </a:pPr>
            <a:r>
              <a:rPr lang="en-US"/>
              <a:t>gas phase</a:t>
            </a:r>
          </a:p>
        </c:rich>
      </c:tx>
      <c:layout>
        <c:manualLayout>
          <c:xMode val="edge"/>
          <c:yMode val="edge"/>
          <c:x val="0.18814978236732441"/>
          <c:y val="2.23329883736572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3"/>
          <c:order val="0"/>
          <c:tx>
            <c:strRef>
              <c:f>'paths_all (revised)'!$A$4</c:f>
              <c:strCache>
                <c:ptCount val="1"/>
                <c:pt idx="0">
                  <c:v>ISOMERISATION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'paths_all (revised)'!$B$4:$F$4</c:f>
              <c:numCache>
                <c:formatCode>0.00E+00</c:formatCode>
                <c:ptCount val="5"/>
                <c:pt idx="0">
                  <c:v>4243529898896</c:v>
                </c:pt>
                <c:pt idx="1">
                  <c:v>3755119340561.7998</c:v>
                </c:pt>
                <c:pt idx="2">
                  <c:v>3821129128331.2002</c:v>
                </c:pt>
                <c:pt idx="3">
                  <c:v>4464938727831</c:v>
                </c:pt>
                <c:pt idx="4">
                  <c:v>3294976966140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B8-4E6E-A3EC-CCAF139AFD2B}"/>
            </c:ext>
          </c:extLst>
        </c:ser>
        <c:ser>
          <c:idx val="4"/>
          <c:order val="1"/>
          <c:tx>
            <c:strRef>
              <c:f>'paths_all (revised)'!$A$5</c:f>
              <c:strCache>
                <c:ptCount val="1"/>
                <c:pt idx="0">
                  <c:v>DINITRATES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'paths_all (revised)'!$B$5:$F$5</c:f>
              <c:numCache>
                <c:formatCode>0.00E+00</c:formatCode>
                <c:ptCount val="5"/>
                <c:pt idx="0">
                  <c:v>1666491800000</c:v>
                </c:pt>
                <c:pt idx="1">
                  <c:v>1374345300000</c:v>
                </c:pt>
                <c:pt idx="2">
                  <c:v>1249996100000</c:v>
                </c:pt>
                <c:pt idx="3">
                  <c:v>1275655600000</c:v>
                </c:pt>
                <c:pt idx="4">
                  <c:v>1080259708961.65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B8-4E6E-A3EC-CCAF139AFD2B}"/>
            </c:ext>
          </c:extLst>
        </c:ser>
        <c:ser>
          <c:idx val="1"/>
          <c:order val="2"/>
          <c:tx>
            <c:strRef>
              <c:f>'paths_all (revised)'!$A$6</c:f>
              <c:strCache>
                <c:ptCount val="1"/>
                <c:pt idx="0">
                  <c:v>HYDROXY CARBONYLS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'paths_all (revised)'!$B$6:$F$6</c:f>
              <c:numCache>
                <c:formatCode>0.00E+00</c:formatCode>
                <c:ptCount val="5"/>
                <c:pt idx="0">
                  <c:v>25637600</c:v>
                </c:pt>
                <c:pt idx="1">
                  <c:v>16064600</c:v>
                </c:pt>
                <c:pt idx="2">
                  <c:v>17697900</c:v>
                </c:pt>
                <c:pt idx="3">
                  <c:v>25843020</c:v>
                </c:pt>
                <c:pt idx="4">
                  <c:v>27079290300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B8-4E6E-A3EC-CCAF139AFD2B}"/>
            </c:ext>
          </c:extLst>
        </c:ser>
        <c:ser>
          <c:idx val="5"/>
          <c:order val="3"/>
          <c:tx>
            <c:strRef>
              <c:f>'paths_all (revised)'!$A$7</c:f>
              <c:strCache>
                <c:ptCount val="1"/>
                <c:pt idx="0">
                  <c:v>CYCLIC HEMIACETALS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val>
            <c:numRef>
              <c:f>'paths_all (revised)'!$B$7:$F$7</c:f>
              <c:numCache>
                <c:formatCode>0.00E+00</c:formatCode>
                <c:ptCount val="5"/>
                <c:pt idx="0">
                  <c:v>53582600000</c:v>
                </c:pt>
                <c:pt idx="1">
                  <c:v>64772500000</c:v>
                </c:pt>
                <c:pt idx="2">
                  <c:v>68395500000</c:v>
                </c:pt>
                <c:pt idx="3">
                  <c:v>98986500000</c:v>
                </c:pt>
                <c:pt idx="4">
                  <c:v>89401574000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B8-4E6E-A3EC-CCAF139AFD2B}"/>
            </c:ext>
          </c:extLst>
        </c:ser>
        <c:ser>
          <c:idx val="7"/>
          <c:order val="4"/>
          <c:tx>
            <c:strRef>
              <c:f>'paths_all (revised)'!$A$8</c:f>
              <c:strCache>
                <c:ptCount val="1"/>
                <c:pt idx="0">
                  <c:v>CARBONYL NITRATES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'paths_all (revised)'!$B$8:$F$8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9B8-4E6E-A3EC-CCAF139AFD2B}"/>
            </c:ext>
          </c:extLst>
        </c:ser>
        <c:ser>
          <c:idx val="0"/>
          <c:order val="5"/>
          <c:tx>
            <c:strRef>
              <c:f>'paths_all (revised)'!$A$9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 w="25400">
              <a:noFill/>
            </a:ln>
            <a:effectLst/>
          </c:spPr>
          <c:invertIfNegative val="0"/>
          <c:val>
            <c:numRef>
              <c:f>'paths_all (revised)'!$B$9:$F$9</c:f>
              <c:numCache>
                <c:formatCode>0.00E+00</c:formatCode>
                <c:ptCount val="5"/>
                <c:pt idx="0">
                  <c:v>21405.52</c:v>
                </c:pt>
                <c:pt idx="1">
                  <c:v>2566.38</c:v>
                </c:pt>
                <c:pt idx="2">
                  <c:v>73097600</c:v>
                </c:pt>
                <c:pt idx="3">
                  <c:v>80512000</c:v>
                </c:pt>
                <c:pt idx="4">
                  <c:v>64639900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9B8-4E6E-A3EC-CCAF139AFD2B}"/>
            </c:ext>
          </c:extLst>
        </c:ser>
        <c:ser>
          <c:idx val="6"/>
          <c:order val="6"/>
          <c:tx>
            <c:strRef>
              <c:f>'paths_all (revised)'!$A$10</c:f>
              <c:strCache>
                <c:ptCount val="1"/>
                <c:pt idx="0">
                  <c:v>DECOMPOSITION</c:v>
                </c:pt>
              </c:strCache>
            </c:strRef>
          </c:tx>
          <c:spPr>
            <a:solidFill>
              <a:srgbClr val="CCCC00"/>
            </a:solidFill>
            <a:ln w="25400">
              <a:noFill/>
            </a:ln>
            <a:effectLst/>
          </c:spPr>
          <c:invertIfNegative val="0"/>
          <c:val>
            <c:numRef>
              <c:f>'paths_all (revised)'!$B$10:$F$10</c:f>
              <c:numCache>
                <c:formatCode>0.00E+00</c:formatCode>
                <c:ptCount val="5"/>
                <c:pt idx="0">
                  <c:v>0</c:v>
                </c:pt>
                <c:pt idx="1">
                  <c:v>1244830500</c:v>
                </c:pt>
                <c:pt idx="2">
                  <c:v>4020603954</c:v>
                </c:pt>
                <c:pt idx="3">
                  <c:v>3043670818</c:v>
                </c:pt>
                <c:pt idx="4">
                  <c:v>49580672.899999999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9B8-4E6E-A3EC-CCAF139AF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496887823"/>
        <c:axId val="1496890735"/>
      </c:barChart>
      <c:lineChart>
        <c:grouping val="standard"/>
        <c:varyColors val="0"/>
        <c:ser>
          <c:idx val="9"/>
          <c:order val="7"/>
          <c:tx>
            <c:strRef>
              <c:f>'paths_all (revised)'!$A$15</c:f>
              <c:strCache>
                <c:ptCount val="1"/>
                <c:pt idx="0">
                  <c:v>modeled mass yields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(revised)'!$B$15:$F$15</c:f>
              <c:numCache>
                <c:formatCode>0%</c:formatCode>
                <c:ptCount val="5"/>
                <c:pt idx="0">
                  <c:v>0.83967542399839701</c:v>
                </c:pt>
                <c:pt idx="1">
                  <c:v>0.77771384828096179</c:v>
                </c:pt>
                <c:pt idx="2">
                  <c:v>0.7438271955736947</c:v>
                </c:pt>
                <c:pt idx="3">
                  <c:v>0.74622423593081888</c:v>
                </c:pt>
                <c:pt idx="4">
                  <c:v>0.77771384828096179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98-4D73-9A81-B1304BB801D7}"/>
            </c:ext>
          </c:extLst>
        </c:ser>
        <c:ser>
          <c:idx val="10"/>
          <c:order val="8"/>
          <c:tx>
            <c:strRef>
              <c:f>'paths_all (revised)'!$A$18</c:f>
              <c:strCache>
                <c:ptCount val="1"/>
                <c:pt idx="0">
                  <c:v>measured mass yields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(revised)'!$B$18:$F$18</c:f>
              <c:numCache>
                <c:formatCode>0.000</c:formatCode>
                <c:ptCount val="5"/>
                <c:pt idx="0">
                  <c:v>0.63239999999999996</c:v>
                </c:pt>
                <c:pt idx="1">
                  <c:v>0.62</c:v>
                </c:pt>
                <c:pt idx="2">
                  <c:v>0.54559999999999997</c:v>
                </c:pt>
                <c:pt idx="3">
                  <c:v>0.34720000000000001</c:v>
                </c:pt>
                <c:pt idx="4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98-4D73-9A81-B1304BB80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9576175"/>
        <c:axId val="209955537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valAx>
        <c:axId val="2099555375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9576175"/>
        <c:crosses val="max"/>
        <c:crossBetween val="between"/>
      </c:valAx>
      <c:catAx>
        <c:axId val="2099576175"/>
        <c:scaling>
          <c:orientation val="minMax"/>
        </c:scaling>
        <c:delete val="1"/>
        <c:axPos val="b"/>
        <c:majorTickMark val="out"/>
        <c:minorTickMark val="none"/>
        <c:tickLblPos val="nextTo"/>
        <c:crossAx val="20995553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79900134613406304"/>
          <c:w val="0.89483181618742158"/>
          <c:h val="0.200998653865937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2+ generation</a:t>
            </a:r>
            <a:r>
              <a:rPr lang="en-US"/>
              <a:t>s @ max SOA</a:t>
            </a:r>
          </a:p>
        </c:rich>
      </c:tx>
      <c:layout>
        <c:manualLayout>
          <c:xMode val="edge"/>
          <c:yMode val="edge"/>
          <c:x val="0.2699036565997391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3"/>
          <c:order val="0"/>
          <c:tx>
            <c:strRef>
              <c:f>'paths_all (revised)'!$A$24</c:f>
              <c:strCache>
                <c:ptCount val="1"/>
                <c:pt idx="0">
                  <c:v>ISOMERISATION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'paths_all (revised)'!$B$24:$F$24</c:f>
              <c:numCache>
                <c:formatCode>0.00E+00</c:formatCode>
                <c:ptCount val="5"/>
                <c:pt idx="0">
                  <c:v>770257154088.16589</c:v>
                </c:pt>
                <c:pt idx="1">
                  <c:v>800905667823.91724</c:v>
                </c:pt>
                <c:pt idx="2">
                  <c:v>724239786053.31787</c:v>
                </c:pt>
                <c:pt idx="3">
                  <c:v>747651683304.62988</c:v>
                </c:pt>
                <c:pt idx="4">
                  <c:v>851455041938.21814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6F-481A-872E-A13FF760C793}"/>
            </c:ext>
          </c:extLst>
        </c:ser>
        <c:ser>
          <c:idx val="4"/>
          <c:order val="1"/>
          <c:tx>
            <c:strRef>
              <c:f>'paths_all (revised)'!$A$25</c:f>
              <c:strCache>
                <c:ptCount val="1"/>
                <c:pt idx="0">
                  <c:v>DINITRATES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'paths_all (revised)'!$B$25:$F$25</c:f>
              <c:numCache>
                <c:formatCode>0.00E+00</c:formatCode>
                <c:ptCount val="5"/>
                <c:pt idx="0">
                  <c:v>700331700000</c:v>
                </c:pt>
                <c:pt idx="1">
                  <c:v>697632500000</c:v>
                </c:pt>
                <c:pt idx="2">
                  <c:v>678329300000</c:v>
                </c:pt>
                <c:pt idx="3">
                  <c:v>673298200000</c:v>
                </c:pt>
                <c:pt idx="4">
                  <c:v>681784900000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6F-481A-872E-A13FF760C793}"/>
            </c:ext>
          </c:extLst>
        </c:ser>
        <c:ser>
          <c:idx val="1"/>
          <c:order val="2"/>
          <c:tx>
            <c:strRef>
              <c:f>'paths_all (revised)'!$A$26</c:f>
              <c:strCache>
                <c:ptCount val="1"/>
                <c:pt idx="0">
                  <c:v>HYDROXY CARBONYLS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'paths_all (revised)'!$B$26:$F$26</c:f>
              <c:numCache>
                <c:formatCode>0.00E+00</c:formatCode>
                <c:ptCount val="5"/>
                <c:pt idx="0">
                  <c:v>407095241.39999998</c:v>
                </c:pt>
                <c:pt idx="1">
                  <c:v>1986484307</c:v>
                </c:pt>
                <c:pt idx="2">
                  <c:v>2383743123</c:v>
                </c:pt>
                <c:pt idx="3">
                  <c:v>3636519818.6999998</c:v>
                </c:pt>
                <c:pt idx="4">
                  <c:v>6004731690.6000004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6F-481A-872E-A13FF760C793}"/>
            </c:ext>
          </c:extLst>
        </c:ser>
        <c:ser>
          <c:idx val="5"/>
          <c:order val="3"/>
          <c:tx>
            <c:strRef>
              <c:f>'paths_all (revised)'!$A$27</c:f>
              <c:strCache>
                <c:ptCount val="1"/>
                <c:pt idx="0">
                  <c:v>CYCLIC HEMIACETALS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'paths_all (revised)'!$B$27:$F$27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6F-481A-872E-A13FF760C793}"/>
            </c:ext>
          </c:extLst>
        </c:ser>
        <c:ser>
          <c:idx val="7"/>
          <c:order val="4"/>
          <c:tx>
            <c:strRef>
              <c:f>'paths_all (revised)'!$A$28</c:f>
              <c:strCache>
                <c:ptCount val="1"/>
                <c:pt idx="0">
                  <c:v>CARBONYL NITRATES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'paths_all (revised)'!$B$28:$F$28</c:f>
              <c:numCache>
                <c:formatCode>0.00E+00</c:formatCode>
                <c:ptCount val="5"/>
                <c:pt idx="0">
                  <c:v>2643016391.0450001</c:v>
                </c:pt>
                <c:pt idx="1">
                  <c:v>4801169951.6199999</c:v>
                </c:pt>
                <c:pt idx="2">
                  <c:v>11873041400.921</c:v>
                </c:pt>
                <c:pt idx="3">
                  <c:v>11658707391.516001</c:v>
                </c:pt>
                <c:pt idx="4">
                  <c:v>11648011419.698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6F-481A-872E-A13FF760C793}"/>
            </c:ext>
          </c:extLst>
        </c:ser>
        <c:ser>
          <c:idx val="0"/>
          <c:order val="5"/>
          <c:tx>
            <c:strRef>
              <c:f>'paths_all (revised)'!$A$29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'paths_all (revised)'!$B$29:$F$29</c:f>
              <c:numCache>
                <c:formatCode>0.00E+00</c:formatCode>
                <c:ptCount val="5"/>
                <c:pt idx="0">
                  <c:v>198400</c:v>
                </c:pt>
                <c:pt idx="1">
                  <c:v>956093</c:v>
                </c:pt>
                <c:pt idx="2">
                  <c:v>91317600000</c:v>
                </c:pt>
                <c:pt idx="3">
                  <c:v>93105300000</c:v>
                </c:pt>
                <c:pt idx="4">
                  <c:v>92991100000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26F-481A-872E-A13FF760C793}"/>
            </c:ext>
          </c:extLst>
        </c:ser>
        <c:ser>
          <c:idx val="6"/>
          <c:order val="6"/>
          <c:tx>
            <c:strRef>
              <c:f>'paths_all (revised)'!$A$30</c:f>
              <c:strCache>
                <c:ptCount val="1"/>
                <c:pt idx="0">
                  <c:v>DECOMPOSITION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'paths_all (revised)'!$B$30:$F$30</c:f>
              <c:numCache>
                <c:formatCode>0.00E+00</c:formatCode>
                <c:ptCount val="5"/>
                <c:pt idx="0">
                  <c:v>53270375456.896362</c:v>
                </c:pt>
                <c:pt idx="1">
                  <c:v>118173024773.19032</c:v>
                </c:pt>
                <c:pt idx="2">
                  <c:v>176479553650.68445</c:v>
                </c:pt>
                <c:pt idx="3">
                  <c:v>193530376825.01395</c:v>
                </c:pt>
                <c:pt idx="4">
                  <c:v>226327694518.37982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26F-481A-872E-A13FF760C793}"/>
            </c:ext>
          </c:extLst>
        </c:ser>
        <c:ser>
          <c:idx val="8"/>
          <c:order val="7"/>
          <c:tx>
            <c:strRef>
              <c:f>'paths_all (revised)'!$A$31</c:f>
              <c:strCache>
                <c:ptCount val="1"/>
                <c:pt idx="0">
                  <c:v>Higher_gen_C/10</c:v>
                </c:pt>
              </c:strCache>
            </c:strRef>
          </c:tx>
          <c:spPr>
            <a:pattFill prst="dkDnDiag">
              <a:fgClr>
                <a:srgbClr val="CCCC00"/>
              </a:fgClr>
              <a:bgClr>
                <a:srgbClr val="FF0000"/>
              </a:bgClr>
            </a:pattFill>
            <a:ln>
              <a:noFill/>
            </a:ln>
            <a:effectLst/>
          </c:spPr>
          <c:invertIfNegative val="0"/>
          <c:val>
            <c:numRef>
              <c:f>'paths_all (revised)'!$B$31:$F$31</c:f>
              <c:numCache>
                <c:formatCode>0.00E+00</c:formatCode>
                <c:ptCount val="5"/>
                <c:pt idx="0">
                  <c:v>321105000000</c:v>
                </c:pt>
                <c:pt idx="1">
                  <c:v>358891000000</c:v>
                </c:pt>
                <c:pt idx="2">
                  <c:v>342261000000</c:v>
                </c:pt>
                <c:pt idx="3">
                  <c:v>358454000000</c:v>
                </c:pt>
                <c:pt idx="4">
                  <c:v>430472000000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26F-481A-872E-A13FF760C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496887823"/>
        <c:axId val="1496890735"/>
      </c:barChart>
      <c:lineChart>
        <c:grouping val="standard"/>
        <c:varyColors val="0"/>
        <c:ser>
          <c:idx val="9"/>
          <c:order val="8"/>
          <c:tx>
            <c:strRef>
              <c:f>'paths_all (revised)'!$A$35</c:f>
              <c:strCache>
                <c:ptCount val="1"/>
                <c:pt idx="0">
                  <c:v>modeled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(revised)'!$B$35:$F$35</c:f>
              <c:numCache>
                <c:formatCode>0.00</c:formatCode>
                <c:ptCount val="5"/>
                <c:pt idx="0">
                  <c:v>0.9437356853103448</c:v>
                </c:pt>
                <c:pt idx="1">
                  <c:v>0.86399963680180303</c:v>
                </c:pt>
                <c:pt idx="2">
                  <c:v>0.80778734494796767</c:v>
                </c:pt>
                <c:pt idx="3">
                  <c:v>0.77196644347029653</c:v>
                </c:pt>
                <c:pt idx="4">
                  <c:v>0.716177108946771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26F-481A-872E-A13FF760C793}"/>
            </c:ext>
          </c:extLst>
        </c:ser>
        <c:ser>
          <c:idx val="10"/>
          <c:order val="9"/>
          <c:tx>
            <c:strRef>
              <c:f>'paths_all (revised)'!$A$38</c:f>
              <c:strCache>
                <c:ptCount val="1"/>
                <c:pt idx="0">
                  <c:v>measured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(revised)'!$B$38:$F$38</c:f>
              <c:numCache>
                <c:formatCode>0.000</c:formatCode>
                <c:ptCount val="5"/>
                <c:pt idx="0">
                  <c:v>0.63239999999999996</c:v>
                </c:pt>
                <c:pt idx="1">
                  <c:v>0.62</c:v>
                </c:pt>
                <c:pt idx="2">
                  <c:v>0.54559999999999997</c:v>
                </c:pt>
                <c:pt idx="3">
                  <c:v>0.34720000000000001</c:v>
                </c:pt>
                <c:pt idx="4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26F-481A-872E-A13FF760C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9576175"/>
        <c:axId val="209955537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valAx>
        <c:axId val="2099555375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9576175"/>
        <c:crosses val="max"/>
        <c:crossBetween val="between"/>
      </c:valAx>
      <c:catAx>
        <c:axId val="2099576175"/>
        <c:scaling>
          <c:orientation val="minMax"/>
        </c:scaling>
        <c:delete val="1"/>
        <c:axPos val="b"/>
        <c:majorTickMark val="out"/>
        <c:minorTickMark val="none"/>
        <c:tickLblPos val="nextTo"/>
        <c:crossAx val="20995553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79900134613406304"/>
          <c:w val="0.89483181618742158"/>
          <c:h val="0.200998653865937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decan-1-nitrate + OH branching ratios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4DA-4A7E-969F-743D0EF97BA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4DA-4A7E-969F-743D0EF97BA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4DA-4A7E-969F-743D0EF97BA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4DA-4A7E-969F-743D0EF97BA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4DA-4A7E-969F-743D0EF97BA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4DA-4A7E-969F-743D0EF97BA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4DA-4A7E-969F-743D0EF97BA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4DA-4A7E-969F-743D0EF97BAF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F4DA-4A7E-969F-743D0EF97BAF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F4DA-4A7E-969F-743D0EF97BAF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F4DA-4A7E-969F-743D0EF97BA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'BR1'!$A$3:$B$13</c:f>
              <c:strCache>
                <c:ptCount val="11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strCache>
            </c:strRef>
          </c:cat>
          <c:val>
            <c:numRef>
              <c:f>'BR1'!$I$3:$I$13</c:f>
              <c:numCache>
                <c:formatCode>0.0%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2.8304733549256673E-2</c:v>
                </c:pt>
                <c:pt idx="3">
                  <c:v>0.14152366774628336</c:v>
                </c:pt>
                <c:pt idx="4">
                  <c:v>0.14152366774628336</c:v>
                </c:pt>
                <c:pt idx="5">
                  <c:v>0.14152366774628336</c:v>
                </c:pt>
                <c:pt idx="6">
                  <c:v>0.14152366774628336</c:v>
                </c:pt>
                <c:pt idx="7">
                  <c:v>0.14152366774628336</c:v>
                </c:pt>
                <c:pt idx="8">
                  <c:v>0.14152366774628336</c:v>
                </c:pt>
                <c:pt idx="9">
                  <c:v>0.10480999416604639</c:v>
                </c:pt>
                <c:pt idx="10">
                  <c:v>1.7743265806996721E-2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F4DA-4A7E-969F-743D0EF97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2+ generation</a:t>
            </a:r>
            <a:r>
              <a:rPr lang="en-US"/>
              <a:t>s @ 60 m</a:t>
            </a:r>
          </a:p>
        </c:rich>
      </c:tx>
      <c:layout>
        <c:manualLayout>
          <c:xMode val="edge"/>
          <c:yMode val="edge"/>
          <c:x val="0.2699036565997391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3"/>
          <c:order val="0"/>
          <c:tx>
            <c:strRef>
              <c:f>'paths_all (revised)'!$A$44</c:f>
              <c:strCache>
                <c:ptCount val="1"/>
                <c:pt idx="0">
                  <c:v>ISOMERISATION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'paths_all (revised)'!$B$44:$F$44</c:f>
              <c:numCache>
                <c:formatCode>0.00E+00</c:formatCode>
                <c:ptCount val="5"/>
                <c:pt idx="0">
                  <c:v>1337196801506.4304</c:v>
                </c:pt>
                <c:pt idx="1">
                  <c:v>1482611926923.1699</c:v>
                </c:pt>
                <c:pt idx="2">
                  <c:v>1351755585096.8799</c:v>
                </c:pt>
                <c:pt idx="3">
                  <c:v>1415182618109.8613</c:v>
                </c:pt>
                <c:pt idx="4">
                  <c:v>1668939045452.2261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0C-47F9-AD27-D5E9C16168C3}"/>
            </c:ext>
          </c:extLst>
        </c:ser>
        <c:ser>
          <c:idx val="4"/>
          <c:order val="1"/>
          <c:tx>
            <c:strRef>
              <c:f>'paths_all (revised)'!$A$45</c:f>
              <c:strCache>
                <c:ptCount val="1"/>
                <c:pt idx="0">
                  <c:v>DINITRATES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'paths_all (revised)'!$B$45:$F$45</c:f>
              <c:numCache>
                <c:formatCode>0.00E+00</c:formatCode>
                <c:ptCount val="5"/>
                <c:pt idx="0">
                  <c:v>788384700000</c:v>
                </c:pt>
                <c:pt idx="1">
                  <c:v>802686300000</c:v>
                </c:pt>
                <c:pt idx="2">
                  <c:v>773219300000</c:v>
                </c:pt>
                <c:pt idx="3">
                  <c:v>764169800000</c:v>
                </c:pt>
                <c:pt idx="4">
                  <c:v>782391300000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0C-47F9-AD27-D5E9C16168C3}"/>
            </c:ext>
          </c:extLst>
        </c:ser>
        <c:ser>
          <c:idx val="1"/>
          <c:order val="2"/>
          <c:tx>
            <c:strRef>
              <c:f>'paths_all (revised)'!$A$46</c:f>
              <c:strCache>
                <c:ptCount val="1"/>
                <c:pt idx="0">
                  <c:v>HYDROXY CARBONYLS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'paths_all (revised)'!$B$46:$F$46</c:f>
              <c:numCache>
                <c:formatCode>0.00E+00</c:formatCode>
                <c:ptCount val="5"/>
                <c:pt idx="0">
                  <c:v>32262999</c:v>
                </c:pt>
                <c:pt idx="1">
                  <c:v>162485493</c:v>
                </c:pt>
                <c:pt idx="2">
                  <c:v>197024987</c:v>
                </c:pt>
                <c:pt idx="3">
                  <c:v>297601585.52999997</c:v>
                </c:pt>
                <c:pt idx="4">
                  <c:v>503810322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0C-47F9-AD27-D5E9C16168C3}"/>
            </c:ext>
          </c:extLst>
        </c:ser>
        <c:ser>
          <c:idx val="5"/>
          <c:order val="3"/>
          <c:tx>
            <c:strRef>
              <c:f>'paths_all (revised)'!$A$47</c:f>
              <c:strCache>
                <c:ptCount val="1"/>
                <c:pt idx="0">
                  <c:v>CYCLIC HEMIACETALS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'paths_all (revised)'!$B$47:$F$47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0C-47F9-AD27-D5E9C16168C3}"/>
            </c:ext>
          </c:extLst>
        </c:ser>
        <c:ser>
          <c:idx val="7"/>
          <c:order val="4"/>
          <c:tx>
            <c:strRef>
              <c:f>'paths_all (revised)'!$A$48</c:f>
              <c:strCache>
                <c:ptCount val="1"/>
                <c:pt idx="0">
                  <c:v>CARBONYL NITRATES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'paths_all (revised)'!$B$48:$F$48</c:f>
              <c:numCache>
                <c:formatCode>0.00E+00</c:formatCode>
                <c:ptCount val="5"/>
                <c:pt idx="0">
                  <c:v>3249072983.9899998</c:v>
                </c:pt>
                <c:pt idx="1">
                  <c:v>6009407271.7200003</c:v>
                </c:pt>
                <c:pt idx="2">
                  <c:v>15200398996.640001</c:v>
                </c:pt>
                <c:pt idx="3">
                  <c:v>14932818817.220001</c:v>
                </c:pt>
                <c:pt idx="4">
                  <c:v>14945508223.68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0C-47F9-AD27-D5E9C16168C3}"/>
            </c:ext>
          </c:extLst>
        </c:ser>
        <c:ser>
          <c:idx val="0"/>
          <c:order val="5"/>
          <c:tx>
            <c:strRef>
              <c:f>'paths_all (revised)'!$A$49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'paths_all (revised)'!$B$49:$F$49</c:f>
              <c:numCache>
                <c:formatCode>0.00E+00</c:formatCode>
                <c:ptCount val="5"/>
                <c:pt idx="0">
                  <c:v>824553</c:v>
                </c:pt>
                <c:pt idx="1">
                  <c:v>4065210</c:v>
                </c:pt>
                <c:pt idx="2">
                  <c:v>96994300000</c:v>
                </c:pt>
                <c:pt idx="3">
                  <c:v>99227300000</c:v>
                </c:pt>
                <c:pt idx="4">
                  <c:v>99158900000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0C-47F9-AD27-D5E9C16168C3}"/>
            </c:ext>
          </c:extLst>
        </c:ser>
        <c:ser>
          <c:idx val="6"/>
          <c:order val="6"/>
          <c:tx>
            <c:strRef>
              <c:f>'paths_all (revised)'!$A$50</c:f>
              <c:strCache>
                <c:ptCount val="1"/>
                <c:pt idx="0">
                  <c:v>DECOMPOSITION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'paths_all (revised)'!$B$50:$F$50</c:f>
              <c:numCache>
                <c:formatCode>0.00E+00</c:formatCode>
                <c:ptCount val="5"/>
                <c:pt idx="0">
                  <c:v>306918979517.09595</c:v>
                </c:pt>
                <c:pt idx="1">
                  <c:v>361886758206.5174</c:v>
                </c:pt>
                <c:pt idx="2">
                  <c:v>342990883387.81299</c:v>
                </c:pt>
                <c:pt idx="3">
                  <c:v>355047188031.3241</c:v>
                </c:pt>
                <c:pt idx="4">
                  <c:v>383335091217.23224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50C-47F9-AD27-D5E9C16168C3}"/>
            </c:ext>
          </c:extLst>
        </c:ser>
        <c:ser>
          <c:idx val="8"/>
          <c:order val="7"/>
          <c:tx>
            <c:strRef>
              <c:f>'paths_all (revised)'!$A$51</c:f>
              <c:strCache>
                <c:ptCount val="1"/>
                <c:pt idx="0">
                  <c:v>Higher_gen_C/10</c:v>
                </c:pt>
              </c:strCache>
            </c:strRef>
          </c:tx>
          <c:spPr>
            <a:pattFill prst="dkDnDiag">
              <a:fgClr>
                <a:srgbClr val="CCCC00"/>
              </a:fgClr>
              <a:bgClr>
                <a:srgbClr val="FF0000"/>
              </a:bgClr>
            </a:pattFill>
            <a:ln>
              <a:noFill/>
            </a:ln>
            <a:effectLst/>
          </c:spPr>
          <c:invertIfNegative val="0"/>
          <c:val>
            <c:numRef>
              <c:f>'paths_all (revised)'!$B$51:$F$51</c:f>
              <c:numCache>
                <c:formatCode>0.00E+00</c:formatCode>
                <c:ptCount val="5"/>
                <c:pt idx="0">
                  <c:v>917930000000</c:v>
                </c:pt>
                <c:pt idx="1">
                  <c:v>978960000000</c:v>
                </c:pt>
                <c:pt idx="2">
                  <c:v>898547000000</c:v>
                </c:pt>
                <c:pt idx="3">
                  <c:v>919142000000</c:v>
                </c:pt>
                <c:pt idx="4">
                  <c:v>1085410000000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50C-47F9-AD27-D5E9C1616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496887823"/>
        <c:axId val="1496890735"/>
      </c:barChart>
      <c:lineChart>
        <c:grouping val="standard"/>
        <c:varyColors val="0"/>
        <c:ser>
          <c:idx val="9"/>
          <c:order val="8"/>
          <c:tx>
            <c:strRef>
              <c:f>'paths_all (revised)'!$A$55</c:f>
              <c:strCache>
                <c:ptCount val="1"/>
                <c:pt idx="0">
                  <c:v>modeled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(revised)'!$B$55:$F$55</c:f>
              <c:numCache>
                <c:formatCode>0.00</c:formatCode>
                <c:ptCount val="5"/>
                <c:pt idx="0">
                  <c:v>0.9437356853103448</c:v>
                </c:pt>
                <c:pt idx="1">
                  <c:v>0.86399963680180303</c:v>
                </c:pt>
                <c:pt idx="2">
                  <c:v>0.80778734494796767</c:v>
                </c:pt>
                <c:pt idx="3">
                  <c:v>0.77196644347029653</c:v>
                </c:pt>
                <c:pt idx="4">
                  <c:v>0.716177108946771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50C-47F9-AD27-D5E9C16168C3}"/>
            </c:ext>
          </c:extLst>
        </c:ser>
        <c:ser>
          <c:idx val="10"/>
          <c:order val="9"/>
          <c:tx>
            <c:strRef>
              <c:f>'paths_all (revised)'!$A$58</c:f>
              <c:strCache>
                <c:ptCount val="1"/>
                <c:pt idx="0">
                  <c:v>measured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(revised)'!$B$58:$F$58</c:f>
              <c:numCache>
                <c:formatCode>0.000</c:formatCode>
                <c:ptCount val="5"/>
                <c:pt idx="0">
                  <c:v>0.63239999999999996</c:v>
                </c:pt>
                <c:pt idx="1">
                  <c:v>0.62</c:v>
                </c:pt>
                <c:pt idx="2">
                  <c:v>0.54559999999999997</c:v>
                </c:pt>
                <c:pt idx="3">
                  <c:v>0.34720000000000001</c:v>
                </c:pt>
                <c:pt idx="4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50C-47F9-AD27-D5E9C1616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9576175"/>
        <c:axId val="209955537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valAx>
        <c:axId val="2099555375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9576175"/>
        <c:crosses val="max"/>
        <c:crossBetween val="between"/>
      </c:valAx>
      <c:catAx>
        <c:axId val="2099576175"/>
        <c:scaling>
          <c:orientation val="minMax"/>
        </c:scaling>
        <c:delete val="1"/>
        <c:axPos val="b"/>
        <c:majorTickMark val="out"/>
        <c:minorTickMark val="none"/>
        <c:tickLblPos val="nextTo"/>
        <c:crossAx val="20995553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79900134613406304"/>
          <c:w val="0.89483181618742158"/>
          <c:h val="0.200998653865937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1st</a:t>
            </a:r>
            <a:r>
              <a:rPr lang="en-US" baseline="0"/>
              <a:t> generation</a:t>
            </a:r>
            <a:r>
              <a:rPr lang="en-US"/>
              <a:t> products @ 60 m</a:t>
            </a:r>
          </a:p>
          <a:p>
            <a:pPr>
              <a:defRPr/>
            </a:pPr>
            <a:r>
              <a:rPr lang="en-US"/>
              <a:t>all phases</a:t>
            </a:r>
          </a:p>
        </c:rich>
      </c:tx>
      <c:layout>
        <c:manualLayout>
          <c:xMode val="edge"/>
          <c:yMode val="edge"/>
          <c:x val="0.18814978236732441"/>
          <c:y val="2.23329883736572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3"/>
          <c:order val="0"/>
          <c:tx>
            <c:strRef>
              <c:f>'paths_all (revised)'!$A$4</c:f>
              <c:strCache>
                <c:ptCount val="1"/>
                <c:pt idx="0">
                  <c:v>ISOMERISATION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'paths_all (revised)'!$AB$4:$AF$4</c:f>
              <c:numCache>
                <c:formatCode>0.00E+00</c:formatCode>
                <c:ptCount val="5"/>
                <c:pt idx="0">
                  <c:v>1485105465339.6252</c:v>
                </c:pt>
                <c:pt idx="1">
                  <c:v>1026119499677.8176</c:v>
                </c:pt>
                <c:pt idx="2">
                  <c:v>827255886828.95227</c:v>
                </c:pt>
                <c:pt idx="3">
                  <c:v>1276804575483.6694</c:v>
                </c:pt>
                <c:pt idx="4">
                  <c:v>929940820984.24634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04-4E1A-9DC5-BDF25F3535E7}"/>
            </c:ext>
          </c:extLst>
        </c:ser>
        <c:ser>
          <c:idx val="4"/>
          <c:order val="1"/>
          <c:tx>
            <c:strRef>
              <c:f>'paths_all (revised)'!$A$5</c:f>
              <c:strCache>
                <c:ptCount val="1"/>
                <c:pt idx="0">
                  <c:v>DINITRATES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'paths_all (revised)'!$AB$5:$AF$5</c:f>
              <c:numCache>
                <c:formatCode>0.00E+00</c:formatCode>
                <c:ptCount val="5"/>
                <c:pt idx="0">
                  <c:v>1666491800000</c:v>
                </c:pt>
                <c:pt idx="1">
                  <c:v>1374345300000</c:v>
                </c:pt>
                <c:pt idx="2">
                  <c:v>874702400000</c:v>
                </c:pt>
                <c:pt idx="3">
                  <c:v>821275600000</c:v>
                </c:pt>
                <c:pt idx="4">
                  <c:v>870749548148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04-4E1A-9DC5-BDF25F3535E7}"/>
            </c:ext>
          </c:extLst>
        </c:ser>
        <c:ser>
          <c:idx val="1"/>
          <c:order val="2"/>
          <c:tx>
            <c:strRef>
              <c:f>'paths_all (revised)'!$A$6</c:f>
              <c:strCache>
                <c:ptCount val="1"/>
                <c:pt idx="0">
                  <c:v>HYDROXY CARBONYLS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'paths_all (revised)'!$AB$6:$AF$6</c:f>
              <c:numCache>
                <c:formatCode>0.00E+00</c:formatCode>
                <c:ptCount val="5"/>
                <c:pt idx="0">
                  <c:v>25637600</c:v>
                </c:pt>
                <c:pt idx="1">
                  <c:v>16064600</c:v>
                </c:pt>
                <c:pt idx="2">
                  <c:v>388397</c:v>
                </c:pt>
                <c:pt idx="3">
                  <c:v>520075.7</c:v>
                </c:pt>
                <c:pt idx="4">
                  <c:v>21809285095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04-4E1A-9DC5-BDF25F3535E7}"/>
            </c:ext>
          </c:extLst>
        </c:ser>
        <c:ser>
          <c:idx val="5"/>
          <c:order val="3"/>
          <c:tx>
            <c:strRef>
              <c:f>'paths_all (revised)'!$A$7</c:f>
              <c:strCache>
                <c:ptCount val="1"/>
                <c:pt idx="0">
                  <c:v>CYCLIC HEMIACETALS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val>
            <c:numRef>
              <c:f>'paths_all (revised)'!$AB$7:$AF$7</c:f>
              <c:numCache>
                <c:formatCode>0.00E+00</c:formatCode>
                <c:ptCount val="5"/>
                <c:pt idx="0">
                  <c:v>53582600000</c:v>
                </c:pt>
                <c:pt idx="1">
                  <c:v>64772500000</c:v>
                </c:pt>
                <c:pt idx="2">
                  <c:v>1760260000</c:v>
                </c:pt>
                <c:pt idx="3">
                  <c:v>2584627000</c:v>
                </c:pt>
                <c:pt idx="4">
                  <c:v>2922607000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04-4E1A-9DC5-BDF25F3535E7}"/>
            </c:ext>
          </c:extLst>
        </c:ser>
        <c:ser>
          <c:idx val="7"/>
          <c:order val="4"/>
          <c:tx>
            <c:strRef>
              <c:f>'paths_all (revised)'!$A$8</c:f>
              <c:strCache>
                <c:ptCount val="1"/>
                <c:pt idx="0">
                  <c:v>CARBONYL NITRATES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'paths_all (revised)'!$AB$8:$AF$8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04-4E1A-9DC5-BDF25F3535E7}"/>
            </c:ext>
          </c:extLst>
        </c:ser>
        <c:ser>
          <c:idx val="0"/>
          <c:order val="5"/>
          <c:tx>
            <c:strRef>
              <c:f>'paths_all (revised)'!$A$9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'paths_all (revised)'!$AB$9:$AF$9</c:f>
              <c:numCache>
                <c:formatCode>0.00E+00</c:formatCode>
                <c:ptCount val="5"/>
                <c:pt idx="0">
                  <c:v>21405.52</c:v>
                </c:pt>
                <c:pt idx="1">
                  <c:v>2566.38</c:v>
                </c:pt>
                <c:pt idx="2">
                  <c:v>315442000</c:v>
                </c:pt>
                <c:pt idx="3">
                  <c:v>318583000</c:v>
                </c:pt>
                <c:pt idx="4">
                  <c:v>320699000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04-4E1A-9DC5-BDF25F3535E7}"/>
            </c:ext>
          </c:extLst>
        </c:ser>
        <c:ser>
          <c:idx val="6"/>
          <c:order val="6"/>
          <c:tx>
            <c:strRef>
              <c:f>'paths_all (revised)'!$A$10</c:f>
              <c:strCache>
                <c:ptCount val="1"/>
                <c:pt idx="0">
                  <c:v>DECOMPOSITION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'paths_all (revised)'!$AB$10:$AF$10</c:f>
              <c:numCache>
                <c:formatCode>0.00E+00</c:formatCode>
                <c:ptCount val="5"/>
                <c:pt idx="0">
                  <c:v>0</c:v>
                </c:pt>
                <c:pt idx="1">
                  <c:v>1244830500</c:v>
                </c:pt>
                <c:pt idx="2">
                  <c:v>2983518369.8000002</c:v>
                </c:pt>
                <c:pt idx="3">
                  <c:v>1992739230</c:v>
                </c:pt>
                <c:pt idx="4">
                  <c:v>243919477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D04-4E1A-9DC5-BDF25F35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496887823"/>
        <c:axId val="1496890735"/>
      </c:barChart>
      <c:lineChart>
        <c:grouping val="standard"/>
        <c:varyColors val="0"/>
        <c:ser>
          <c:idx val="9"/>
          <c:order val="7"/>
          <c:tx>
            <c:strRef>
              <c:f>'paths_all (revised)'!$A$15</c:f>
              <c:strCache>
                <c:ptCount val="1"/>
                <c:pt idx="0">
                  <c:v>modeled mass yields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(revised)'!$B$15:$F$15</c:f>
              <c:numCache>
                <c:formatCode>0%</c:formatCode>
                <c:ptCount val="5"/>
                <c:pt idx="0">
                  <c:v>0.83967542399839701</c:v>
                </c:pt>
                <c:pt idx="1">
                  <c:v>0.77771384828096179</c:v>
                </c:pt>
                <c:pt idx="2">
                  <c:v>0.7438271955736947</c:v>
                </c:pt>
                <c:pt idx="3">
                  <c:v>0.74622423593081888</c:v>
                </c:pt>
                <c:pt idx="4">
                  <c:v>0.77771384828096179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04-4E1A-9DC5-BDF25F3535E7}"/>
            </c:ext>
          </c:extLst>
        </c:ser>
        <c:ser>
          <c:idx val="10"/>
          <c:order val="8"/>
          <c:tx>
            <c:strRef>
              <c:f>'paths_all (revised)'!$A$18</c:f>
              <c:strCache>
                <c:ptCount val="1"/>
                <c:pt idx="0">
                  <c:v>measured mass yields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(revised)'!$B$18:$F$18</c:f>
              <c:numCache>
                <c:formatCode>0.000</c:formatCode>
                <c:ptCount val="5"/>
                <c:pt idx="0">
                  <c:v>0.63239999999999996</c:v>
                </c:pt>
                <c:pt idx="1">
                  <c:v>0.62</c:v>
                </c:pt>
                <c:pt idx="2">
                  <c:v>0.54559999999999997</c:v>
                </c:pt>
                <c:pt idx="3">
                  <c:v>0.34720000000000001</c:v>
                </c:pt>
                <c:pt idx="4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04-4E1A-9DC5-BDF25F35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9576175"/>
        <c:axId val="209955537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valAx>
        <c:axId val="2099555375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9576175"/>
        <c:crosses val="max"/>
        <c:crossBetween val="between"/>
      </c:valAx>
      <c:catAx>
        <c:axId val="2099576175"/>
        <c:scaling>
          <c:orientation val="minMax"/>
        </c:scaling>
        <c:delete val="1"/>
        <c:axPos val="b"/>
        <c:majorTickMark val="out"/>
        <c:minorTickMark val="none"/>
        <c:tickLblPos val="nextTo"/>
        <c:crossAx val="20995553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79900134613406304"/>
          <c:w val="0.89483181618742158"/>
          <c:h val="0.200998653865937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1st</a:t>
            </a:r>
            <a:r>
              <a:rPr lang="en-US" baseline="0"/>
              <a:t> generation</a:t>
            </a:r>
            <a:r>
              <a:rPr lang="en-US"/>
              <a:t> products @ 60 m</a:t>
            </a:r>
          </a:p>
          <a:p>
            <a:pPr>
              <a:defRPr/>
            </a:pPr>
            <a:r>
              <a:rPr lang="en-US"/>
              <a:t>gas phase</a:t>
            </a:r>
          </a:p>
        </c:rich>
      </c:tx>
      <c:layout>
        <c:manualLayout>
          <c:xMode val="edge"/>
          <c:yMode val="edge"/>
          <c:x val="0.18814978236732441"/>
          <c:y val="2.23329883736572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3"/>
          <c:order val="0"/>
          <c:tx>
            <c:strRef>
              <c:f>'paths_all (revised)'!$A$4</c:f>
              <c:strCache>
                <c:ptCount val="1"/>
                <c:pt idx="0">
                  <c:v>ISOMERISATION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'paths_all (revised)'!$B$4:$F$4</c:f>
              <c:numCache>
                <c:formatCode>0.00E+00</c:formatCode>
                <c:ptCount val="5"/>
                <c:pt idx="0">
                  <c:v>4243529898896</c:v>
                </c:pt>
                <c:pt idx="1">
                  <c:v>3755119340561.7998</c:v>
                </c:pt>
                <c:pt idx="2">
                  <c:v>3821129128331.2002</c:v>
                </c:pt>
                <c:pt idx="3">
                  <c:v>4464938727831</c:v>
                </c:pt>
                <c:pt idx="4">
                  <c:v>3294976966140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9E-4D6D-8385-9088B97BD1C5}"/>
            </c:ext>
          </c:extLst>
        </c:ser>
        <c:ser>
          <c:idx val="4"/>
          <c:order val="1"/>
          <c:tx>
            <c:strRef>
              <c:f>'paths_all (revised)'!$A$5</c:f>
              <c:strCache>
                <c:ptCount val="1"/>
                <c:pt idx="0">
                  <c:v>DINITRATES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'paths_all (revised)'!$B$5:$F$5</c:f>
              <c:numCache>
                <c:formatCode>0.00E+00</c:formatCode>
                <c:ptCount val="5"/>
                <c:pt idx="0">
                  <c:v>1666491800000</c:v>
                </c:pt>
                <c:pt idx="1">
                  <c:v>1374345300000</c:v>
                </c:pt>
                <c:pt idx="2">
                  <c:v>1249996100000</c:v>
                </c:pt>
                <c:pt idx="3">
                  <c:v>1275655600000</c:v>
                </c:pt>
                <c:pt idx="4">
                  <c:v>1080259708961.65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9E-4D6D-8385-9088B97BD1C5}"/>
            </c:ext>
          </c:extLst>
        </c:ser>
        <c:ser>
          <c:idx val="1"/>
          <c:order val="2"/>
          <c:tx>
            <c:strRef>
              <c:f>'paths_all (revised)'!$A$6</c:f>
              <c:strCache>
                <c:ptCount val="1"/>
                <c:pt idx="0">
                  <c:v>HYDROXY CARBONYLS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'paths_all (revised)'!$B$6:$F$6</c:f>
              <c:numCache>
                <c:formatCode>0.00E+00</c:formatCode>
                <c:ptCount val="5"/>
                <c:pt idx="0">
                  <c:v>25637600</c:v>
                </c:pt>
                <c:pt idx="1">
                  <c:v>16064600</c:v>
                </c:pt>
                <c:pt idx="2">
                  <c:v>17697900</c:v>
                </c:pt>
                <c:pt idx="3">
                  <c:v>25843020</c:v>
                </c:pt>
                <c:pt idx="4">
                  <c:v>27079290300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9E-4D6D-8385-9088B97BD1C5}"/>
            </c:ext>
          </c:extLst>
        </c:ser>
        <c:ser>
          <c:idx val="5"/>
          <c:order val="3"/>
          <c:tx>
            <c:strRef>
              <c:f>'paths_all (revised)'!$A$7</c:f>
              <c:strCache>
                <c:ptCount val="1"/>
                <c:pt idx="0">
                  <c:v>CYCLIC HEMIACETALS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val>
            <c:numRef>
              <c:f>'paths_all (revised)'!$B$7:$F$7</c:f>
              <c:numCache>
                <c:formatCode>0.00E+00</c:formatCode>
                <c:ptCount val="5"/>
                <c:pt idx="0">
                  <c:v>53582600000</c:v>
                </c:pt>
                <c:pt idx="1">
                  <c:v>64772500000</c:v>
                </c:pt>
                <c:pt idx="2">
                  <c:v>68395500000</c:v>
                </c:pt>
                <c:pt idx="3">
                  <c:v>98986500000</c:v>
                </c:pt>
                <c:pt idx="4">
                  <c:v>89401574000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9E-4D6D-8385-9088B97BD1C5}"/>
            </c:ext>
          </c:extLst>
        </c:ser>
        <c:ser>
          <c:idx val="7"/>
          <c:order val="4"/>
          <c:tx>
            <c:strRef>
              <c:f>'paths_all (revised)'!$A$8</c:f>
              <c:strCache>
                <c:ptCount val="1"/>
                <c:pt idx="0">
                  <c:v>CARBONYL NITRATES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'paths_all (revised)'!$B$8:$F$8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9E-4D6D-8385-9088B97BD1C5}"/>
            </c:ext>
          </c:extLst>
        </c:ser>
        <c:ser>
          <c:idx val="0"/>
          <c:order val="5"/>
          <c:tx>
            <c:strRef>
              <c:f>'paths_all (revised)'!$A$9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 w="25400">
              <a:noFill/>
            </a:ln>
            <a:effectLst/>
          </c:spPr>
          <c:invertIfNegative val="0"/>
          <c:val>
            <c:numRef>
              <c:f>'paths_all (revised)'!$B$9:$F$9</c:f>
              <c:numCache>
                <c:formatCode>0.00E+00</c:formatCode>
                <c:ptCount val="5"/>
                <c:pt idx="0">
                  <c:v>21405.52</c:v>
                </c:pt>
                <c:pt idx="1">
                  <c:v>2566.38</c:v>
                </c:pt>
                <c:pt idx="2">
                  <c:v>73097600</c:v>
                </c:pt>
                <c:pt idx="3">
                  <c:v>80512000</c:v>
                </c:pt>
                <c:pt idx="4">
                  <c:v>64639900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59E-4D6D-8385-9088B97BD1C5}"/>
            </c:ext>
          </c:extLst>
        </c:ser>
        <c:ser>
          <c:idx val="6"/>
          <c:order val="6"/>
          <c:tx>
            <c:strRef>
              <c:f>'paths_all (revised)'!$A$10</c:f>
              <c:strCache>
                <c:ptCount val="1"/>
                <c:pt idx="0">
                  <c:v>DECOMPOSITION</c:v>
                </c:pt>
              </c:strCache>
            </c:strRef>
          </c:tx>
          <c:spPr>
            <a:solidFill>
              <a:srgbClr val="CCCC00"/>
            </a:solidFill>
            <a:ln w="25400">
              <a:noFill/>
            </a:ln>
            <a:effectLst/>
          </c:spPr>
          <c:invertIfNegative val="0"/>
          <c:val>
            <c:numRef>
              <c:f>'paths_all (revised)'!$B$10:$F$10</c:f>
              <c:numCache>
                <c:formatCode>0.00E+00</c:formatCode>
                <c:ptCount val="5"/>
                <c:pt idx="0">
                  <c:v>0</c:v>
                </c:pt>
                <c:pt idx="1">
                  <c:v>1244830500</c:v>
                </c:pt>
                <c:pt idx="2">
                  <c:v>4020603954</c:v>
                </c:pt>
                <c:pt idx="3">
                  <c:v>3043670818</c:v>
                </c:pt>
                <c:pt idx="4">
                  <c:v>49580672.899999999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9E-4D6D-8385-9088B97BD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496887823"/>
        <c:axId val="1496890735"/>
      </c:barChart>
      <c:lineChart>
        <c:grouping val="standard"/>
        <c:varyColors val="0"/>
        <c:ser>
          <c:idx val="9"/>
          <c:order val="7"/>
          <c:tx>
            <c:strRef>
              <c:f>'paths_all (revised)'!$A$15</c:f>
              <c:strCache>
                <c:ptCount val="1"/>
                <c:pt idx="0">
                  <c:v>modeled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(revised)'!$B$35:$F$35</c:f>
              <c:numCache>
                <c:formatCode>0.00</c:formatCode>
                <c:ptCount val="5"/>
                <c:pt idx="0">
                  <c:v>0.9437356853103448</c:v>
                </c:pt>
                <c:pt idx="1">
                  <c:v>0.86399963680180303</c:v>
                </c:pt>
                <c:pt idx="2">
                  <c:v>0.80778734494796767</c:v>
                </c:pt>
                <c:pt idx="3">
                  <c:v>0.77196644347029653</c:v>
                </c:pt>
                <c:pt idx="4">
                  <c:v>0.716177108946771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9E-4D6D-8385-9088B97BD1C5}"/>
            </c:ext>
          </c:extLst>
        </c:ser>
        <c:ser>
          <c:idx val="10"/>
          <c:order val="8"/>
          <c:tx>
            <c:strRef>
              <c:f>'paths_all (revised)'!$A$18</c:f>
              <c:strCache>
                <c:ptCount val="1"/>
                <c:pt idx="0">
                  <c:v>measured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(revised)'!$B$38:$F$38</c:f>
              <c:numCache>
                <c:formatCode>0.000</c:formatCode>
                <c:ptCount val="5"/>
                <c:pt idx="0">
                  <c:v>0.63239999999999996</c:v>
                </c:pt>
                <c:pt idx="1">
                  <c:v>0.62</c:v>
                </c:pt>
                <c:pt idx="2">
                  <c:v>0.54559999999999997</c:v>
                </c:pt>
                <c:pt idx="3">
                  <c:v>0.34720000000000001</c:v>
                </c:pt>
                <c:pt idx="4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9E-4D6D-8385-9088B97BD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9576175"/>
        <c:axId val="209955537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valAx>
        <c:axId val="2099555375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9576175"/>
        <c:crosses val="max"/>
        <c:crossBetween val="between"/>
      </c:valAx>
      <c:catAx>
        <c:axId val="2099576175"/>
        <c:scaling>
          <c:orientation val="minMax"/>
        </c:scaling>
        <c:delete val="1"/>
        <c:axPos val="b"/>
        <c:majorTickMark val="out"/>
        <c:minorTickMark val="none"/>
        <c:tickLblPos val="nextTo"/>
        <c:crossAx val="20995553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79900134613406304"/>
          <c:w val="0.89483181618742158"/>
          <c:h val="0.200998653865937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1st</a:t>
            </a:r>
            <a:r>
              <a:rPr lang="en-US" baseline="0"/>
              <a:t> generation</a:t>
            </a:r>
            <a:r>
              <a:rPr lang="en-US"/>
              <a:t> products @ 60 m</a:t>
            </a:r>
          </a:p>
          <a:p>
            <a:pPr>
              <a:defRPr/>
            </a:pPr>
            <a:r>
              <a:rPr lang="en-US"/>
              <a:t>all phases</a:t>
            </a:r>
          </a:p>
        </c:rich>
      </c:tx>
      <c:layout>
        <c:manualLayout>
          <c:xMode val="edge"/>
          <c:yMode val="edge"/>
          <c:x val="0.18814978236732441"/>
          <c:y val="2.23329883736572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33826483002404"/>
          <c:y val="0.13933938316989514"/>
          <c:w val="0.76415307621160533"/>
          <c:h val="0.5733141890971053"/>
        </c:manualLayout>
      </c:layout>
      <c:barChart>
        <c:barDir val="col"/>
        <c:grouping val="percentStacked"/>
        <c:varyColors val="0"/>
        <c:ser>
          <c:idx val="3"/>
          <c:order val="0"/>
          <c:tx>
            <c:strRef>
              <c:f>'paths_all (revised)'!$A$4</c:f>
              <c:strCache>
                <c:ptCount val="1"/>
                <c:pt idx="0">
                  <c:v>ISOMERISATION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'paths_all (revised)'!$AB$4:$AF$4</c:f>
              <c:numCache>
                <c:formatCode>0.00E+00</c:formatCode>
                <c:ptCount val="5"/>
                <c:pt idx="0">
                  <c:v>1485105465339.6252</c:v>
                </c:pt>
                <c:pt idx="1">
                  <c:v>1026119499677.8176</c:v>
                </c:pt>
                <c:pt idx="2">
                  <c:v>827255886828.95227</c:v>
                </c:pt>
                <c:pt idx="3">
                  <c:v>1276804575483.6694</c:v>
                </c:pt>
                <c:pt idx="4">
                  <c:v>929940820984.24634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F4-4C0C-9DCB-FE50D38C6A2C}"/>
            </c:ext>
          </c:extLst>
        </c:ser>
        <c:ser>
          <c:idx val="4"/>
          <c:order val="1"/>
          <c:tx>
            <c:strRef>
              <c:f>'paths_all (revised)'!$A$5</c:f>
              <c:strCache>
                <c:ptCount val="1"/>
                <c:pt idx="0">
                  <c:v>DINITRATES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'paths_all (revised)'!$AB$5:$AF$5</c:f>
              <c:numCache>
                <c:formatCode>0.00E+00</c:formatCode>
                <c:ptCount val="5"/>
                <c:pt idx="0">
                  <c:v>1666491800000</c:v>
                </c:pt>
                <c:pt idx="1">
                  <c:v>1374345300000</c:v>
                </c:pt>
                <c:pt idx="2">
                  <c:v>874702400000</c:v>
                </c:pt>
                <c:pt idx="3">
                  <c:v>821275600000</c:v>
                </c:pt>
                <c:pt idx="4">
                  <c:v>870749548148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F4-4C0C-9DCB-FE50D38C6A2C}"/>
            </c:ext>
          </c:extLst>
        </c:ser>
        <c:ser>
          <c:idx val="1"/>
          <c:order val="2"/>
          <c:tx>
            <c:strRef>
              <c:f>'paths_all (revised)'!$A$6</c:f>
              <c:strCache>
                <c:ptCount val="1"/>
                <c:pt idx="0">
                  <c:v>HYDROXY CARBONYLS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'paths_all (revised)'!$AB$6:$AF$6</c:f>
              <c:numCache>
                <c:formatCode>0.00E+00</c:formatCode>
                <c:ptCount val="5"/>
                <c:pt idx="0">
                  <c:v>25637600</c:v>
                </c:pt>
                <c:pt idx="1">
                  <c:v>16064600</c:v>
                </c:pt>
                <c:pt idx="2">
                  <c:v>388397</c:v>
                </c:pt>
                <c:pt idx="3">
                  <c:v>520075.7</c:v>
                </c:pt>
                <c:pt idx="4">
                  <c:v>21809285095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F4-4C0C-9DCB-FE50D38C6A2C}"/>
            </c:ext>
          </c:extLst>
        </c:ser>
        <c:ser>
          <c:idx val="5"/>
          <c:order val="3"/>
          <c:tx>
            <c:strRef>
              <c:f>'paths_all (revised)'!$A$7</c:f>
              <c:strCache>
                <c:ptCount val="1"/>
                <c:pt idx="0">
                  <c:v>CYCLIC HEMIACETALS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val>
            <c:numRef>
              <c:f>'paths_all (revised)'!$AB$7:$AF$7</c:f>
              <c:numCache>
                <c:formatCode>0.00E+00</c:formatCode>
                <c:ptCount val="5"/>
                <c:pt idx="0">
                  <c:v>53582600000</c:v>
                </c:pt>
                <c:pt idx="1">
                  <c:v>64772500000</c:v>
                </c:pt>
                <c:pt idx="2">
                  <c:v>1760260000</c:v>
                </c:pt>
                <c:pt idx="3">
                  <c:v>2584627000</c:v>
                </c:pt>
                <c:pt idx="4">
                  <c:v>2922607000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F4-4C0C-9DCB-FE50D38C6A2C}"/>
            </c:ext>
          </c:extLst>
        </c:ser>
        <c:ser>
          <c:idx val="7"/>
          <c:order val="4"/>
          <c:tx>
            <c:strRef>
              <c:f>'paths_all (revised)'!$A$8</c:f>
              <c:strCache>
                <c:ptCount val="1"/>
                <c:pt idx="0">
                  <c:v>CARBONYL NITRATES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'paths_all (revised)'!$AB$8:$AF$8</c:f>
              <c:numCache>
                <c:formatCode>0.00E+00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F4-4C0C-9DCB-FE50D38C6A2C}"/>
            </c:ext>
          </c:extLst>
        </c:ser>
        <c:ser>
          <c:idx val="0"/>
          <c:order val="5"/>
          <c:tx>
            <c:strRef>
              <c:f>'paths_all (revised)'!$A$9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'paths_all (revised)'!$AB$9:$AF$9</c:f>
              <c:numCache>
                <c:formatCode>0.00E+00</c:formatCode>
                <c:ptCount val="5"/>
                <c:pt idx="0">
                  <c:v>21405.52</c:v>
                </c:pt>
                <c:pt idx="1">
                  <c:v>2566.38</c:v>
                </c:pt>
                <c:pt idx="2">
                  <c:v>315442000</c:v>
                </c:pt>
                <c:pt idx="3">
                  <c:v>318583000</c:v>
                </c:pt>
                <c:pt idx="4">
                  <c:v>320699000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F4-4C0C-9DCB-FE50D38C6A2C}"/>
            </c:ext>
          </c:extLst>
        </c:ser>
        <c:ser>
          <c:idx val="6"/>
          <c:order val="6"/>
          <c:tx>
            <c:strRef>
              <c:f>'paths_all (revised)'!$A$10</c:f>
              <c:strCache>
                <c:ptCount val="1"/>
                <c:pt idx="0">
                  <c:v>DECOMPOSITION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val>
            <c:numRef>
              <c:f>'paths_all (revised)'!$AB$10:$AF$10</c:f>
              <c:numCache>
                <c:formatCode>0.00E+00</c:formatCode>
                <c:ptCount val="5"/>
                <c:pt idx="0">
                  <c:v>0</c:v>
                </c:pt>
                <c:pt idx="1">
                  <c:v>1244830500</c:v>
                </c:pt>
                <c:pt idx="2">
                  <c:v>2983518369.8000002</c:v>
                </c:pt>
                <c:pt idx="3">
                  <c:v>1992739230</c:v>
                </c:pt>
                <c:pt idx="4">
                  <c:v>243919477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F4-4C0C-9DCB-FE50D38C6A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496887823"/>
        <c:axId val="1496890735"/>
      </c:barChart>
      <c:lineChart>
        <c:grouping val="standard"/>
        <c:varyColors val="0"/>
        <c:ser>
          <c:idx val="9"/>
          <c:order val="7"/>
          <c:tx>
            <c:strRef>
              <c:f>'paths_all (revised)'!$A$15</c:f>
              <c:strCache>
                <c:ptCount val="1"/>
                <c:pt idx="0">
                  <c:v>modeled mass yields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(revised)'!$B$35:$F$35</c:f>
              <c:numCache>
                <c:formatCode>0.00</c:formatCode>
                <c:ptCount val="5"/>
                <c:pt idx="0">
                  <c:v>0.9437356853103448</c:v>
                </c:pt>
                <c:pt idx="1">
                  <c:v>0.86399963680180303</c:v>
                </c:pt>
                <c:pt idx="2">
                  <c:v>0.80778734494796767</c:v>
                </c:pt>
                <c:pt idx="3">
                  <c:v>0.77196644347029653</c:v>
                </c:pt>
                <c:pt idx="4">
                  <c:v>0.716177108946771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EF4-4C0C-9DCB-FE50D38C6A2C}"/>
            </c:ext>
          </c:extLst>
        </c:ser>
        <c:ser>
          <c:idx val="10"/>
          <c:order val="8"/>
          <c:tx>
            <c:strRef>
              <c:f>'paths_all (revised)'!$A$18</c:f>
              <c:strCache>
                <c:ptCount val="1"/>
                <c:pt idx="0">
                  <c:v>measured mass yields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val>
            <c:numRef>
              <c:f>'paths_all (revised)'!$B$18:$F$18</c:f>
              <c:numCache>
                <c:formatCode>0.000</c:formatCode>
                <c:ptCount val="5"/>
                <c:pt idx="0">
                  <c:v>0.63239999999999996</c:v>
                </c:pt>
                <c:pt idx="1">
                  <c:v>0.62</c:v>
                </c:pt>
                <c:pt idx="2">
                  <c:v>0.54559999999999997</c:v>
                </c:pt>
                <c:pt idx="3">
                  <c:v>0.34720000000000001</c:v>
                </c:pt>
                <c:pt idx="4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EF4-4C0C-9DCB-FE50D38C6A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9576175"/>
        <c:axId val="2099555375"/>
      </c:lineChart>
      <c:catAx>
        <c:axId val="1496887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</c:valAx>
      <c:valAx>
        <c:axId val="2099555375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9576175"/>
        <c:crosses val="max"/>
        <c:crossBetween val="between"/>
      </c:valAx>
      <c:catAx>
        <c:axId val="2099576175"/>
        <c:scaling>
          <c:orientation val="minMax"/>
        </c:scaling>
        <c:delete val="1"/>
        <c:axPos val="b"/>
        <c:majorTickMark val="out"/>
        <c:minorTickMark val="none"/>
        <c:tickLblPos val="nextTo"/>
        <c:crossAx val="20995553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617370239220846E-2"/>
          <c:y val="0.79900134613406304"/>
          <c:w val="0.89483181618742158"/>
          <c:h val="0.200998653865937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decane-nitrate products @ SOA</a:t>
            </a:r>
            <a:r>
              <a:rPr lang="en-US" baseline="0"/>
              <a:t> </a:t>
            </a:r>
            <a:r>
              <a:rPr lang="en-US"/>
              <a:t>maximum</a:t>
            </a:r>
          </a:p>
        </c:rich>
      </c:tx>
      <c:layout>
        <c:manualLayout>
          <c:xMode val="edge"/>
          <c:yMode val="edge"/>
          <c:x val="0.38020122484689411"/>
          <c:y val="2.9777317831543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103021542597033"/>
          <c:y val="0.13933938316989514"/>
          <c:w val="0.84352669684405379"/>
          <c:h val="0.573314189097105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'12-bar plot'!$A$4</c:f>
              <c:strCache>
                <c:ptCount val="1"/>
                <c:pt idx="0">
                  <c:v>ISOMERISATION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'12-bar plot'!$B$3:$X$3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cat>
          <c:val>
            <c:numRef>
              <c:f>'12-bar plot'!$B$4:$X$4</c:f>
              <c:numCache>
                <c:formatCode>0.00E+00</c:formatCode>
                <c:ptCount val="15"/>
                <c:pt idx="0">
                  <c:v>770257154088.16589</c:v>
                </c:pt>
                <c:pt idx="1">
                  <c:v>724239786053.31787</c:v>
                </c:pt>
                <c:pt idx="2">
                  <c:v>851455041938.21814</c:v>
                </c:pt>
                <c:pt idx="4">
                  <c:v>7555463636566.8203</c:v>
                </c:pt>
                <c:pt idx="5">
                  <c:v>5404470932234.7275</c:v>
                </c:pt>
                <c:pt idx="6">
                  <c:v>4076772162130.252</c:v>
                </c:pt>
                <c:pt idx="8">
                  <c:v>213823255540.39929</c:v>
                </c:pt>
                <c:pt idx="9">
                  <c:v>194592951954.77716</c:v>
                </c:pt>
                <c:pt idx="10">
                  <c:v>208917127927.27521</c:v>
                </c:pt>
                <c:pt idx="12">
                  <c:v>8539544046195.3838</c:v>
                </c:pt>
                <c:pt idx="13">
                  <c:v>6323303670242.8184</c:v>
                </c:pt>
                <c:pt idx="14">
                  <c:v>5137144331995.7451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BA-4E46-B997-E8F20AF34CAC}"/>
            </c:ext>
          </c:extLst>
        </c:ser>
        <c:ser>
          <c:idx val="5"/>
          <c:order val="1"/>
          <c:tx>
            <c:strRef>
              <c:f>'12-bar plot'!$A$5</c:f>
              <c:strCache>
                <c:ptCount val="1"/>
                <c:pt idx="0">
                  <c:v>DINITRATES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'12-bar plot'!$B$3:$X$3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cat>
          <c:val>
            <c:numRef>
              <c:f>'12-bar plot'!$B$5:$X$5</c:f>
              <c:numCache>
                <c:formatCode>0.00E+00</c:formatCode>
                <c:ptCount val="15"/>
                <c:pt idx="0">
                  <c:v>700331700000</c:v>
                </c:pt>
                <c:pt idx="1">
                  <c:v>678329300000</c:v>
                </c:pt>
                <c:pt idx="2">
                  <c:v>681784900000</c:v>
                </c:pt>
                <c:pt idx="4">
                  <c:v>1709398800000</c:v>
                </c:pt>
                <c:pt idx="5">
                  <c:v>1270542700000</c:v>
                </c:pt>
                <c:pt idx="6">
                  <c:v>1149594500000</c:v>
                </c:pt>
                <c:pt idx="8">
                  <c:v>455800800000</c:v>
                </c:pt>
                <c:pt idx="9">
                  <c:v>437928580000</c:v>
                </c:pt>
                <c:pt idx="10">
                  <c:v>440645300000</c:v>
                </c:pt>
                <c:pt idx="12">
                  <c:v>2865531300000</c:v>
                </c:pt>
                <c:pt idx="13">
                  <c:v>2386800580000</c:v>
                </c:pt>
                <c:pt idx="14">
                  <c:v>2272024700000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BA-4E46-B997-E8F20AF34CAC}"/>
            </c:ext>
          </c:extLst>
        </c:ser>
        <c:ser>
          <c:idx val="7"/>
          <c:order val="2"/>
          <c:tx>
            <c:strRef>
              <c:f>'12-bar plot'!$A$6</c:f>
              <c:strCache>
                <c:ptCount val="1"/>
                <c:pt idx="0">
                  <c:v>HYDROXY CARBONYLS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'12-bar plot'!$B$3:$X$3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cat>
          <c:val>
            <c:numRef>
              <c:f>'12-bar plot'!$B$6:$X$6</c:f>
              <c:numCache>
                <c:formatCode>0.00E+00</c:formatCode>
                <c:ptCount val="15"/>
                <c:pt idx="0">
                  <c:v>407095241.39999998</c:v>
                </c:pt>
                <c:pt idx="1">
                  <c:v>2383743123</c:v>
                </c:pt>
                <c:pt idx="2">
                  <c:v>6004731690.6000004</c:v>
                </c:pt>
                <c:pt idx="4">
                  <c:v>137781871.30000001</c:v>
                </c:pt>
                <c:pt idx="5">
                  <c:v>249859001.80000001</c:v>
                </c:pt>
                <c:pt idx="6">
                  <c:v>566611918.75</c:v>
                </c:pt>
                <c:pt idx="8">
                  <c:v>677932.23899999994</c:v>
                </c:pt>
                <c:pt idx="9">
                  <c:v>3962967.27</c:v>
                </c:pt>
                <c:pt idx="10">
                  <c:v>9982617.5130000003</c:v>
                </c:pt>
                <c:pt idx="12">
                  <c:v>545555044.93900001</c:v>
                </c:pt>
                <c:pt idx="13">
                  <c:v>2637565092.0700002</c:v>
                </c:pt>
                <c:pt idx="14">
                  <c:v>6581326226.8629999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BA-4E46-B997-E8F20AF34CAC}"/>
            </c:ext>
          </c:extLst>
        </c:ser>
        <c:ser>
          <c:idx val="0"/>
          <c:order val="3"/>
          <c:tx>
            <c:strRef>
              <c:f>'12-bar plot'!$A$7</c:f>
              <c:strCache>
                <c:ptCount val="1"/>
                <c:pt idx="0">
                  <c:v>CYCLIC HEMIACETALS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'12-bar plot'!$B$3:$X$3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cat>
          <c:val>
            <c:numRef>
              <c:f>'12-bar plot'!$B$7:$X$7</c:f>
              <c:numCache>
                <c:formatCode>0.00E+00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4">
                  <c:v>350710106840</c:v>
                </c:pt>
                <c:pt idx="5">
                  <c:v>577616912800</c:v>
                </c:pt>
                <c:pt idx="6">
                  <c:v>1293425622120</c:v>
                </c:pt>
                <c:pt idx="8">
                  <c:v>3656727341.6999998</c:v>
                </c:pt>
                <c:pt idx="9">
                  <c:v>17025528158</c:v>
                </c:pt>
                <c:pt idx="10">
                  <c:v>43960999808.300003</c:v>
                </c:pt>
                <c:pt idx="12">
                  <c:v>354366834181.70001</c:v>
                </c:pt>
                <c:pt idx="13">
                  <c:v>594642440958</c:v>
                </c:pt>
                <c:pt idx="14">
                  <c:v>1337386621928.3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3BA-4E46-B997-E8F20AF34CAC}"/>
            </c:ext>
          </c:extLst>
        </c:ser>
        <c:ser>
          <c:idx val="4"/>
          <c:order val="4"/>
          <c:tx>
            <c:strRef>
              <c:f>'12-bar plot'!$A$8</c:f>
              <c:strCache>
                <c:ptCount val="1"/>
                <c:pt idx="0">
                  <c:v>CARBONYL NITRATES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'12-bar plot'!$B$3:$X$3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cat>
          <c:val>
            <c:numRef>
              <c:f>'12-bar plot'!$B$8:$X$8</c:f>
              <c:numCache>
                <c:formatCode>0.00E+00</c:formatCode>
                <c:ptCount val="15"/>
                <c:pt idx="0">
                  <c:v>2643016391.0450001</c:v>
                </c:pt>
                <c:pt idx="1">
                  <c:v>11873041400.921</c:v>
                </c:pt>
                <c:pt idx="2">
                  <c:v>11648011419.698</c:v>
                </c:pt>
                <c:pt idx="4">
                  <c:v>363702270.63099998</c:v>
                </c:pt>
                <c:pt idx="5">
                  <c:v>1252639235.0037003</c:v>
                </c:pt>
                <c:pt idx="6">
                  <c:v>1106278685.9988</c:v>
                </c:pt>
                <c:pt idx="8">
                  <c:v>729362966.32959998</c:v>
                </c:pt>
                <c:pt idx="9">
                  <c:v>3218844603.8559999</c:v>
                </c:pt>
                <c:pt idx="10">
                  <c:v>3156999705.0318003</c:v>
                </c:pt>
                <c:pt idx="12">
                  <c:v>3736081628.0056</c:v>
                </c:pt>
                <c:pt idx="13">
                  <c:v>16344525239.780699</c:v>
                </c:pt>
                <c:pt idx="14">
                  <c:v>15911289810.7286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3BA-4E46-B997-E8F20AF34CAC}"/>
            </c:ext>
          </c:extLst>
        </c:ser>
        <c:ser>
          <c:idx val="6"/>
          <c:order val="5"/>
          <c:tx>
            <c:strRef>
              <c:f>'12-bar plot'!$A$9</c:f>
              <c:strCache>
                <c:ptCount val="1"/>
                <c:pt idx="0">
                  <c:v>CARBONYL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'12-bar plot'!$B$3:$X$3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cat>
          <c:val>
            <c:numRef>
              <c:f>'12-bar plot'!$B$9:$X$9</c:f>
              <c:numCache>
                <c:formatCode>0.00E+00</c:formatCode>
                <c:ptCount val="15"/>
                <c:pt idx="0">
                  <c:v>198400</c:v>
                </c:pt>
                <c:pt idx="1">
                  <c:v>91317600000</c:v>
                </c:pt>
                <c:pt idx="2">
                  <c:v>92991100000</c:v>
                </c:pt>
                <c:pt idx="4">
                  <c:v>441.59199999999998</c:v>
                </c:pt>
                <c:pt idx="5">
                  <c:v>62815800</c:v>
                </c:pt>
                <c:pt idx="6">
                  <c:v>57584200</c:v>
                </c:pt>
                <c:pt idx="8">
                  <c:v>1047.81</c:v>
                </c:pt>
                <c:pt idx="9">
                  <c:v>195419000</c:v>
                </c:pt>
                <c:pt idx="10">
                  <c:v>198998000</c:v>
                </c:pt>
                <c:pt idx="12">
                  <c:v>199889.402</c:v>
                </c:pt>
                <c:pt idx="13">
                  <c:v>91575834800</c:v>
                </c:pt>
                <c:pt idx="14">
                  <c:v>93247682200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3BA-4E46-B997-E8F20AF34CAC}"/>
            </c:ext>
          </c:extLst>
        </c:ser>
        <c:ser>
          <c:idx val="8"/>
          <c:order val="6"/>
          <c:tx>
            <c:strRef>
              <c:f>'12-bar plot'!$A$10</c:f>
              <c:strCache>
                <c:ptCount val="1"/>
                <c:pt idx="0">
                  <c:v>DECOMPOSITION</c:v>
                </c:pt>
              </c:strCache>
            </c:strRef>
          </c:tx>
          <c:spPr>
            <a:solidFill>
              <a:srgbClr val="CCCC00"/>
            </a:solidFill>
            <a:ln>
              <a:noFill/>
            </a:ln>
            <a:effectLst/>
          </c:spPr>
          <c:invertIfNegative val="0"/>
          <c:cat>
            <c:numRef>
              <c:f>'12-bar plot'!$B$3:$X$3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cat>
          <c:val>
            <c:numRef>
              <c:f>'12-bar plot'!$B$10:$X$10</c:f>
              <c:numCache>
                <c:formatCode>0.00E+00</c:formatCode>
                <c:ptCount val="15"/>
                <c:pt idx="0">
                  <c:v>53270375456.896362</c:v>
                </c:pt>
                <c:pt idx="1">
                  <c:v>176479553650.68445</c:v>
                </c:pt>
                <c:pt idx="2">
                  <c:v>226327694518.37982</c:v>
                </c:pt>
                <c:pt idx="4">
                  <c:v>34699856010.42791</c:v>
                </c:pt>
                <c:pt idx="5">
                  <c:v>66015808601.549553</c:v>
                </c:pt>
                <c:pt idx="6">
                  <c:v>28183600628.074997</c:v>
                </c:pt>
                <c:pt idx="8">
                  <c:v>5720268383.5741968</c:v>
                </c:pt>
                <c:pt idx="9">
                  <c:v>15112112522.79228</c:v>
                </c:pt>
                <c:pt idx="10">
                  <c:v>17111450736.52739</c:v>
                </c:pt>
                <c:pt idx="12">
                  <c:v>93690499850.898346</c:v>
                </c:pt>
                <c:pt idx="13">
                  <c:v>257607474775.02606</c:v>
                </c:pt>
                <c:pt idx="14">
                  <c:v>271622745882.98218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BA-4E46-B997-E8F20AF34CAC}"/>
            </c:ext>
          </c:extLst>
        </c:ser>
        <c:ser>
          <c:idx val="2"/>
          <c:order val="7"/>
          <c:tx>
            <c:strRef>
              <c:f>'12-bar plot'!$A$11</c:f>
              <c:strCache>
                <c:ptCount val="1"/>
                <c:pt idx="0">
                  <c:v>3RD-GEN-C/10</c:v>
                </c:pt>
              </c:strCache>
            </c:strRef>
          </c:tx>
          <c:spPr>
            <a:pattFill prst="dkDnDiag">
              <a:fgClr>
                <a:srgbClr val="CCCC00"/>
              </a:fgClr>
              <a:bgClr>
                <a:srgbClr val="FF0000"/>
              </a:bgClr>
            </a:pattFill>
            <a:ln w="25400">
              <a:noFill/>
            </a:ln>
            <a:effectLst/>
          </c:spPr>
          <c:invertIfNegative val="0"/>
          <c:cat>
            <c:numRef>
              <c:f>'12-bar plot'!$B$3:$X$3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4">
                  <c:v>1</c:v>
                </c:pt>
                <c:pt idx="5">
                  <c:v>3</c:v>
                </c:pt>
                <c:pt idx="6">
                  <c:v>5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</c:numCache>
            </c:numRef>
          </c:cat>
          <c:val>
            <c:numRef>
              <c:f>'12-bar plot'!$B$11:$X$11</c:f>
              <c:numCache>
                <c:formatCode>0.00E+00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3BA-4E46-B997-E8F20AF34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496887823"/>
        <c:axId val="1496890735"/>
      </c:barChart>
      <c:catAx>
        <c:axId val="14968878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isomer: initial position of ketone </a:t>
                </a:r>
                <a:r>
                  <a:rPr lang="en-US" sz="1100" baseline="0"/>
                  <a:t>group</a:t>
                </a:r>
                <a:endParaRPr lang="en-US" sz="11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90735"/>
        <c:crosses val="autoZero"/>
        <c:auto val="1"/>
        <c:lblAlgn val="ctr"/>
        <c:lblOffset val="100"/>
        <c:noMultiLvlLbl val="0"/>
      </c:catAx>
      <c:valAx>
        <c:axId val="149689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concentration, molec.cm-3 air equivalent</a:t>
                </a:r>
              </a:p>
            </c:rich>
          </c:tx>
          <c:layout>
            <c:manualLayout>
              <c:xMode val="edge"/>
              <c:yMode val="edge"/>
              <c:x val="9.2118376507284421E-3"/>
              <c:y val="8.350691223575194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887823"/>
        <c:crosses val="autoZero"/>
        <c:crossBetween val="between"/>
        <c:majorUnit val="2000000000000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9.7348700977595189E-3"/>
          <c:y val="0.86600031125503485"/>
          <c:w val="0.99026512990224047"/>
          <c:h val="0.133999688744965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'C'!$B$4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'C'!$B$5:$B$14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A6-40AE-8336-EA62AC0B8161}"/>
            </c:ext>
          </c:extLst>
        </c:ser>
        <c:ser>
          <c:idx val="2"/>
          <c:order val="1"/>
          <c:tx>
            <c:strRef>
              <c:f>'C'!$C$4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'C'!$C$5:$C$14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A6-40AE-8336-EA62AC0B8161}"/>
            </c:ext>
          </c:extLst>
        </c:ser>
        <c:ser>
          <c:idx val="3"/>
          <c:order val="2"/>
          <c:tx>
            <c:strRef>
              <c:f>'C'!$D$4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'C'!$D$5:$D$14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A6-40AE-8336-EA62AC0B8161}"/>
            </c:ext>
          </c:extLst>
        </c:ser>
        <c:ser>
          <c:idx val="4"/>
          <c:order val="3"/>
          <c:tx>
            <c:strRef>
              <c:f>'C'!$E$4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'C'!$E$5:$E$14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A6-40AE-8336-EA62AC0B8161}"/>
            </c:ext>
          </c:extLst>
        </c:ser>
        <c:ser>
          <c:idx val="5"/>
          <c:order val="4"/>
          <c:tx>
            <c:strRef>
              <c:f>'C'!$F$4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'C'!$F$5:$F$14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A6-40AE-8336-EA62AC0B81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'C'!$B$16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'C'!$B$17:$B$26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07-47FF-A582-9B0906CDB62D}"/>
            </c:ext>
          </c:extLst>
        </c:ser>
        <c:ser>
          <c:idx val="2"/>
          <c:order val="1"/>
          <c:tx>
            <c:strRef>
              <c:f>'C'!$C$16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'C'!$C$17:$C$26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07-47FF-A582-9B0906CDB62D}"/>
            </c:ext>
          </c:extLst>
        </c:ser>
        <c:ser>
          <c:idx val="3"/>
          <c:order val="2"/>
          <c:tx>
            <c:strRef>
              <c:f>'C'!$D$16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'C'!$D$17:$D$26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07-47FF-A582-9B0906CDB62D}"/>
            </c:ext>
          </c:extLst>
        </c:ser>
        <c:ser>
          <c:idx val="4"/>
          <c:order val="3"/>
          <c:tx>
            <c:strRef>
              <c:f>'C'!$E$16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'C'!$E$17:$E$26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07-47FF-A582-9B0906CDB62D}"/>
            </c:ext>
          </c:extLst>
        </c:ser>
        <c:ser>
          <c:idx val="5"/>
          <c:order val="4"/>
          <c:tx>
            <c:strRef>
              <c:f>'C'!$F$16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'C'!$F$17:$F$26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07-47FF-A582-9B0906CDB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'C'!$I$4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'C'!$I$5:$I$14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A3-478D-B285-D99D486FD9F0}"/>
            </c:ext>
          </c:extLst>
        </c:ser>
        <c:ser>
          <c:idx val="2"/>
          <c:order val="1"/>
          <c:tx>
            <c:strRef>
              <c:f>'C'!$J$4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'C'!$J$5:$J$14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A3-478D-B285-D99D486FD9F0}"/>
            </c:ext>
          </c:extLst>
        </c:ser>
        <c:ser>
          <c:idx val="3"/>
          <c:order val="2"/>
          <c:tx>
            <c:strRef>
              <c:f>'C'!$K$4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'C'!$K$5:$K$14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A3-478D-B285-D99D486FD9F0}"/>
            </c:ext>
          </c:extLst>
        </c:ser>
        <c:ser>
          <c:idx val="4"/>
          <c:order val="3"/>
          <c:tx>
            <c:strRef>
              <c:f>'C'!$L$4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'C'!$L$5:$L$14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A3-478D-B285-D99D486FD9F0}"/>
            </c:ext>
          </c:extLst>
        </c:ser>
        <c:ser>
          <c:idx val="5"/>
          <c:order val="4"/>
          <c:tx>
            <c:strRef>
              <c:f>'C'!$M$4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'C'!$M$5:$M$14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A3-478D-B285-D99D486FD9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'C'!$I$16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'C'!$I$17:$I$26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E-44D1-BA0B-E0DAA59A7D80}"/>
            </c:ext>
          </c:extLst>
        </c:ser>
        <c:ser>
          <c:idx val="2"/>
          <c:order val="1"/>
          <c:tx>
            <c:strRef>
              <c:f>'C'!$J$16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'C'!$J$17:$J$26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E-44D1-BA0B-E0DAA59A7D80}"/>
            </c:ext>
          </c:extLst>
        </c:ser>
        <c:ser>
          <c:idx val="3"/>
          <c:order val="2"/>
          <c:tx>
            <c:strRef>
              <c:f>'C'!$K$16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'C'!$K$17:$K$26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FE-44D1-BA0B-E0DAA59A7D80}"/>
            </c:ext>
          </c:extLst>
        </c:ser>
        <c:ser>
          <c:idx val="4"/>
          <c:order val="3"/>
          <c:tx>
            <c:strRef>
              <c:f>'C'!$L$16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'C'!$L$17:$L$26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FE-44D1-BA0B-E0DAA59A7D80}"/>
            </c:ext>
          </c:extLst>
        </c:ser>
        <c:ser>
          <c:idx val="5"/>
          <c:order val="4"/>
          <c:tx>
            <c:strRef>
              <c:f>'C'!$M$16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'C'!$M$17:$M$26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FE-44D1-BA0B-E0DAA59A7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CN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CN!$B$4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CN!$B$5:$B$14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94-42BE-A33B-D4C7B9DA9C75}"/>
            </c:ext>
          </c:extLst>
        </c:ser>
        <c:ser>
          <c:idx val="2"/>
          <c:order val="1"/>
          <c:tx>
            <c:strRef>
              <c:f>CN!$C$4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CN!$C$5:$C$14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94-42BE-A33B-D4C7B9DA9C75}"/>
            </c:ext>
          </c:extLst>
        </c:ser>
        <c:ser>
          <c:idx val="3"/>
          <c:order val="2"/>
          <c:tx>
            <c:strRef>
              <c:f>CN!$D$4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CN!$D$5:$D$14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94-42BE-A33B-D4C7B9DA9C75}"/>
            </c:ext>
          </c:extLst>
        </c:ser>
        <c:ser>
          <c:idx val="4"/>
          <c:order val="3"/>
          <c:tx>
            <c:strRef>
              <c:f>CN!$E$4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CN!$E$5:$E$14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94-42BE-A33B-D4C7B9DA9C75}"/>
            </c:ext>
          </c:extLst>
        </c:ser>
        <c:ser>
          <c:idx val="5"/>
          <c:order val="4"/>
          <c:tx>
            <c:strRef>
              <c:f>CN!$F$4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CN!$F$5:$F$14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94-42BE-A33B-D4C7B9DA9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decan-2-nitrate OH reaction rates by site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'BR2'!$A$3:$A$13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'BR2'!$F$3:$F$13</c:f>
              <c:numCache>
                <c:formatCode>0.00E+00</c:formatCode>
                <c:ptCount val="11"/>
                <c:pt idx="3">
                  <c:v>2.84E-13</c:v>
                </c:pt>
                <c:pt idx="4">
                  <c:v>1.42E-12</c:v>
                </c:pt>
                <c:pt idx="5">
                  <c:v>1.42E-12</c:v>
                </c:pt>
                <c:pt idx="6">
                  <c:v>1.42E-12</c:v>
                </c:pt>
                <c:pt idx="7">
                  <c:v>1.42E-12</c:v>
                </c:pt>
                <c:pt idx="8">
                  <c:v>1.42E-12</c:v>
                </c:pt>
                <c:pt idx="9">
                  <c:v>1.052E-12</c:v>
                </c:pt>
                <c:pt idx="10">
                  <c:v>1.78E-13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FC-4B14-B0C3-F3CDAEA29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987440"/>
        <c:axId val="1054984112"/>
      </c:scatterChart>
      <c:valAx>
        <c:axId val="1054987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4112"/>
        <c:crosses val="autoZero"/>
        <c:crossBetween val="midCat"/>
      </c:valAx>
      <c:valAx>
        <c:axId val="105498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7440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CN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CN!$B$16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CN!$B$17:$B$26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BC-49E0-8B56-DCAA9A6B6A3B}"/>
            </c:ext>
          </c:extLst>
        </c:ser>
        <c:ser>
          <c:idx val="2"/>
          <c:order val="1"/>
          <c:tx>
            <c:strRef>
              <c:f>CN!$C$16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CN!$C$17:$C$26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C-49E0-8B56-DCAA9A6B6A3B}"/>
            </c:ext>
          </c:extLst>
        </c:ser>
        <c:ser>
          <c:idx val="3"/>
          <c:order val="2"/>
          <c:tx>
            <c:strRef>
              <c:f>CN!$D$16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CN!$D$17:$D$26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BC-49E0-8B56-DCAA9A6B6A3B}"/>
            </c:ext>
          </c:extLst>
        </c:ser>
        <c:ser>
          <c:idx val="4"/>
          <c:order val="3"/>
          <c:tx>
            <c:strRef>
              <c:f>CN!$E$16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CN!$E$17:$E$26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C-49E0-8B56-DCAA9A6B6A3B}"/>
            </c:ext>
          </c:extLst>
        </c:ser>
        <c:ser>
          <c:idx val="5"/>
          <c:order val="4"/>
          <c:tx>
            <c:strRef>
              <c:f>CN!$F$16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CN!$F$17:$F$26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BC-49E0-8B56-DCAA9A6B6A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CN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CN!$I$4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CN!$I$5:$I$14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50-4502-AED7-BE40C09F5DC3}"/>
            </c:ext>
          </c:extLst>
        </c:ser>
        <c:ser>
          <c:idx val="2"/>
          <c:order val="1"/>
          <c:tx>
            <c:strRef>
              <c:f>CN!$J$4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CN!$J$5:$J$14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50-4502-AED7-BE40C09F5DC3}"/>
            </c:ext>
          </c:extLst>
        </c:ser>
        <c:ser>
          <c:idx val="3"/>
          <c:order val="2"/>
          <c:tx>
            <c:strRef>
              <c:f>CN!$K$4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CN!$K$5:$K$14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50-4502-AED7-BE40C09F5DC3}"/>
            </c:ext>
          </c:extLst>
        </c:ser>
        <c:ser>
          <c:idx val="4"/>
          <c:order val="3"/>
          <c:tx>
            <c:strRef>
              <c:f>CN!$L$4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CN!$L$5:$L$14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50-4502-AED7-BE40C09F5DC3}"/>
            </c:ext>
          </c:extLst>
        </c:ser>
        <c:ser>
          <c:idx val="5"/>
          <c:order val="4"/>
          <c:tx>
            <c:strRef>
              <c:f>CN!$M$4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CN!$M$5:$M$14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50-4502-AED7-BE40C09F5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CN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CN!$I$16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CN!$I$17:$I$26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33-4AA1-8911-80C6BEB4B90E}"/>
            </c:ext>
          </c:extLst>
        </c:ser>
        <c:ser>
          <c:idx val="2"/>
          <c:order val="1"/>
          <c:tx>
            <c:strRef>
              <c:f>CN!$J$16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CN!$J$17:$J$26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33-4AA1-8911-80C6BEB4B90E}"/>
            </c:ext>
          </c:extLst>
        </c:ser>
        <c:ser>
          <c:idx val="3"/>
          <c:order val="2"/>
          <c:tx>
            <c:strRef>
              <c:f>CN!$K$16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CN!$K$17:$K$26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33-4AA1-8911-80C6BEB4B90E}"/>
            </c:ext>
          </c:extLst>
        </c:ser>
        <c:ser>
          <c:idx val="4"/>
          <c:order val="3"/>
          <c:tx>
            <c:strRef>
              <c:f>CN!$L$16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CN!$L$17:$L$26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33-4AA1-8911-80C6BEB4B90E}"/>
            </c:ext>
          </c:extLst>
        </c:ser>
        <c:ser>
          <c:idx val="5"/>
          <c:order val="4"/>
          <c:tx>
            <c:strRef>
              <c:f>CN!$M$16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CN!$M$17:$M$26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33-4AA1-8911-80C6BEB4B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HC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HC!$B$4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HC!$B$5:$B$14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DD-43A1-8A5B-EEEDD9652854}"/>
            </c:ext>
          </c:extLst>
        </c:ser>
        <c:ser>
          <c:idx val="2"/>
          <c:order val="1"/>
          <c:tx>
            <c:strRef>
              <c:f>HC!$C$4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HC!$C$5:$C$14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DD-43A1-8A5B-EEEDD9652854}"/>
            </c:ext>
          </c:extLst>
        </c:ser>
        <c:ser>
          <c:idx val="3"/>
          <c:order val="2"/>
          <c:tx>
            <c:strRef>
              <c:f>HC!$D$4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HC!$D$5:$D$14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DD-43A1-8A5B-EEEDD9652854}"/>
            </c:ext>
          </c:extLst>
        </c:ser>
        <c:ser>
          <c:idx val="4"/>
          <c:order val="3"/>
          <c:tx>
            <c:strRef>
              <c:f>HC!$E$4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HC!$E$5:$E$14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DD-43A1-8A5B-EEEDD9652854}"/>
            </c:ext>
          </c:extLst>
        </c:ser>
        <c:ser>
          <c:idx val="5"/>
          <c:order val="4"/>
          <c:tx>
            <c:strRef>
              <c:f>HC!$F$4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HC!$F$5:$F$14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DD-43A1-8A5B-EEEDD96528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HC product @ expt 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HC!$B$16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HC!$B$17:$B$26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6-4A2A-AA5E-9741CFEFC2A1}"/>
            </c:ext>
          </c:extLst>
        </c:ser>
        <c:ser>
          <c:idx val="2"/>
          <c:order val="1"/>
          <c:tx>
            <c:strRef>
              <c:f>HC!$C$16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HC!$C$17:$C$26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F6-4A2A-AA5E-9741CFEFC2A1}"/>
            </c:ext>
          </c:extLst>
        </c:ser>
        <c:ser>
          <c:idx val="3"/>
          <c:order val="2"/>
          <c:tx>
            <c:strRef>
              <c:f>HC!$D$16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HC!$D$17:$D$26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F6-4A2A-AA5E-9741CFEFC2A1}"/>
            </c:ext>
          </c:extLst>
        </c:ser>
        <c:ser>
          <c:idx val="4"/>
          <c:order val="3"/>
          <c:tx>
            <c:strRef>
              <c:f>HC!$E$16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HC!$E$17:$E$26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F6-4A2A-AA5E-9741CFEFC2A1}"/>
            </c:ext>
          </c:extLst>
        </c:ser>
        <c:ser>
          <c:idx val="5"/>
          <c:order val="4"/>
          <c:tx>
            <c:strRef>
              <c:f>HC!$F$16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HC!$F$17:$F$26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F6-4A2A-AA5E-9741CFEFC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HC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HC!$I$4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HC!$I$5:$I$14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0F-4CB5-9F5A-0E01A8BCA8A7}"/>
            </c:ext>
          </c:extLst>
        </c:ser>
        <c:ser>
          <c:idx val="2"/>
          <c:order val="1"/>
          <c:tx>
            <c:strRef>
              <c:f>HC!$J$4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HC!$J$5:$J$14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0F-4CB5-9F5A-0E01A8BCA8A7}"/>
            </c:ext>
          </c:extLst>
        </c:ser>
        <c:ser>
          <c:idx val="3"/>
          <c:order val="2"/>
          <c:tx>
            <c:strRef>
              <c:f>HC!$K$4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HC!$K$5:$K$14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0F-4CB5-9F5A-0E01A8BCA8A7}"/>
            </c:ext>
          </c:extLst>
        </c:ser>
        <c:ser>
          <c:idx val="4"/>
          <c:order val="3"/>
          <c:tx>
            <c:strRef>
              <c:f>HC!$L$4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HC!$L$5:$L$14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0F-4CB5-9F5A-0E01A8BCA8A7}"/>
            </c:ext>
          </c:extLst>
        </c:ser>
        <c:ser>
          <c:idx val="5"/>
          <c:order val="4"/>
          <c:tx>
            <c:strRef>
              <c:f>HC!$M$4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HC!$M$5:$M$14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0F-4CB5-9F5A-0E01A8BCA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HC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HC!$I$16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HC!$I$17:$I$26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A2-494A-850B-E974C9E0B16F}"/>
            </c:ext>
          </c:extLst>
        </c:ser>
        <c:ser>
          <c:idx val="2"/>
          <c:order val="1"/>
          <c:tx>
            <c:strRef>
              <c:f>HC!$J$16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HC!$J$17:$J$26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A2-494A-850B-E974C9E0B16F}"/>
            </c:ext>
          </c:extLst>
        </c:ser>
        <c:ser>
          <c:idx val="3"/>
          <c:order val="2"/>
          <c:tx>
            <c:strRef>
              <c:f>HC!$K$16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HC!$K$17:$K$26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A2-494A-850B-E974C9E0B16F}"/>
            </c:ext>
          </c:extLst>
        </c:ser>
        <c:ser>
          <c:idx val="4"/>
          <c:order val="3"/>
          <c:tx>
            <c:strRef>
              <c:f>HC!$L$16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HC!$L$17:$L$26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A2-494A-850B-E974C9E0B16F}"/>
            </c:ext>
          </c:extLst>
        </c:ser>
        <c:ser>
          <c:idx val="5"/>
          <c:order val="4"/>
          <c:tx>
            <c:strRef>
              <c:f>HC!$M$16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HC!$M$17:$M$26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A2-494A-850B-E974C9E0B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HN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HN!$B$4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HN!$B$5:$B$14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17-4725-ABDC-69508D901D0A}"/>
            </c:ext>
          </c:extLst>
        </c:ser>
        <c:ser>
          <c:idx val="2"/>
          <c:order val="1"/>
          <c:tx>
            <c:strRef>
              <c:f>HN!$C$4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HN!$C$5:$C$14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17-4725-ABDC-69508D901D0A}"/>
            </c:ext>
          </c:extLst>
        </c:ser>
        <c:ser>
          <c:idx val="3"/>
          <c:order val="2"/>
          <c:tx>
            <c:strRef>
              <c:f>HN!$D$4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HN!$D$5:$D$14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17-4725-ABDC-69508D901D0A}"/>
            </c:ext>
          </c:extLst>
        </c:ser>
        <c:ser>
          <c:idx val="4"/>
          <c:order val="3"/>
          <c:tx>
            <c:strRef>
              <c:f>HN!$E$4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HN!$E$5:$E$14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17-4725-ABDC-69508D901D0A}"/>
            </c:ext>
          </c:extLst>
        </c:ser>
        <c:ser>
          <c:idx val="5"/>
          <c:order val="4"/>
          <c:tx>
            <c:strRef>
              <c:f>HN!$F$4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HN!$F$5:$F$14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17-4725-ABDC-69508D901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HN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HN!$B$16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HN!$B$17:$B$26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6F-4172-8B68-E9CF7A96AB04}"/>
            </c:ext>
          </c:extLst>
        </c:ser>
        <c:ser>
          <c:idx val="2"/>
          <c:order val="1"/>
          <c:tx>
            <c:strRef>
              <c:f>HN!$C$16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HN!$C$17:$C$26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6F-4172-8B68-E9CF7A96AB04}"/>
            </c:ext>
          </c:extLst>
        </c:ser>
        <c:ser>
          <c:idx val="3"/>
          <c:order val="2"/>
          <c:tx>
            <c:strRef>
              <c:f>HN!$D$16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HN!$D$17:$D$26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6F-4172-8B68-E9CF7A96AB04}"/>
            </c:ext>
          </c:extLst>
        </c:ser>
        <c:ser>
          <c:idx val="4"/>
          <c:order val="3"/>
          <c:tx>
            <c:strRef>
              <c:f>HN!$E$16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HN!$E$17:$E$26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6F-4172-8B68-E9CF7A96AB04}"/>
            </c:ext>
          </c:extLst>
        </c:ser>
        <c:ser>
          <c:idx val="5"/>
          <c:order val="4"/>
          <c:tx>
            <c:strRef>
              <c:f>HN!$F$16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HN!$F$17:$F$26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6F-4172-8B68-E9CF7A96A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HN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HN!$I$4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HN!$I$5:$I$14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4C-4D8C-816E-5B5697ADCFCF}"/>
            </c:ext>
          </c:extLst>
        </c:ser>
        <c:ser>
          <c:idx val="2"/>
          <c:order val="1"/>
          <c:tx>
            <c:strRef>
              <c:f>HN!$J$4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HN!$J$5:$J$14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4C-4D8C-816E-5B5697ADCFCF}"/>
            </c:ext>
          </c:extLst>
        </c:ser>
        <c:ser>
          <c:idx val="3"/>
          <c:order val="2"/>
          <c:tx>
            <c:strRef>
              <c:f>HN!$K$4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HN!$K$5:$K$14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4C-4D8C-816E-5B5697ADCFCF}"/>
            </c:ext>
          </c:extLst>
        </c:ser>
        <c:ser>
          <c:idx val="4"/>
          <c:order val="3"/>
          <c:tx>
            <c:strRef>
              <c:f>HN!$L$4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HN!$L$5:$L$14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4C-4D8C-816E-5B5697ADCFCF}"/>
            </c:ext>
          </c:extLst>
        </c:ser>
        <c:ser>
          <c:idx val="5"/>
          <c:order val="4"/>
          <c:tx>
            <c:strRef>
              <c:f>HN!$M$4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HN!$M$5:$M$14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4C-4D8C-816E-5B5697ADCF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decan-2-nitrate + OH branching ratios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0E4-4246-9A8F-8FFCBAF4AE3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0E4-4246-9A8F-8FFCBAF4AE3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0E4-4246-9A8F-8FFCBAF4AE3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0E4-4246-9A8F-8FFCBAF4AE3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0E4-4246-9A8F-8FFCBAF4AE3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0E4-4246-9A8F-8FFCBAF4AE3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0E4-4246-9A8F-8FFCBAF4AE3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0E4-4246-9A8F-8FFCBAF4AE3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0E4-4246-9A8F-8FFCBAF4AE3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0E4-4246-9A8F-8FFCBAF4AE3B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0E4-4246-9A8F-8FFCBAF4AE3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'BR2'!$A$3:$B$13</c:f>
              <c:strCache>
                <c:ptCount val="11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strCache>
            </c:strRef>
          </c:cat>
          <c:val>
            <c:numRef>
              <c:f>'BR2'!$I$3:$I$13</c:f>
              <c:numCache>
                <c:formatCode>0.0%</c:formatCode>
                <c:ptCount val="11"/>
                <c:pt idx="3">
                  <c:v>3.2969584397492452E-2</c:v>
                </c:pt>
                <c:pt idx="4">
                  <c:v>0.16484792198746226</c:v>
                </c:pt>
                <c:pt idx="5">
                  <c:v>0.16484792198746226</c:v>
                </c:pt>
                <c:pt idx="6">
                  <c:v>0.16484792198746226</c:v>
                </c:pt>
                <c:pt idx="7">
                  <c:v>0.16484792198746226</c:v>
                </c:pt>
                <c:pt idx="8">
                  <c:v>0.16484792198746226</c:v>
                </c:pt>
                <c:pt idx="9">
                  <c:v>0.12212677037381006</c:v>
                </c:pt>
                <c:pt idx="10">
                  <c:v>2.0664035291386114E-2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0E4-4246-9A8F-8FFCBAF4A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HN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HN!$I$16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HN!$I$17:$I$26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9-467D-A3C2-0FA2BD1D309B}"/>
            </c:ext>
          </c:extLst>
        </c:ser>
        <c:ser>
          <c:idx val="2"/>
          <c:order val="1"/>
          <c:tx>
            <c:strRef>
              <c:f>HN!$J$16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HN!$J$17:$J$26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89-467D-A3C2-0FA2BD1D309B}"/>
            </c:ext>
          </c:extLst>
        </c:ser>
        <c:ser>
          <c:idx val="3"/>
          <c:order val="2"/>
          <c:tx>
            <c:strRef>
              <c:f>HN!$K$16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HN!$K$17:$K$26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89-467D-A3C2-0FA2BD1D309B}"/>
            </c:ext>
          </c:extLst>
        </c:ser>
        <c:ser>
          <c:idx val="4"/>
          <c:order val="3"/>
          <c:tx>
            <c:strRef>
              <c:f>HN!$L$16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HN!$L$17:$L$26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89-467D-A3C2-0FA2BD1D309B}"/>
            </c:ext>
          </c:extLst>
        </c:ser>
        <c:ser>
          <c:idx val="5"/>
          <c:order val="4"/>
          <c:tx>
            <c:strRef>
              <c:f>HN!$M$16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HN!$M$17:$M$26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89-467D-A3C2-0FA2BD1D3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NN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NN!$B$4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NN!$B$5:$B$14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2A-4294-959A-DB03F9EC1F0A}"/>
            </c:ext>
          </c:extLst>
        </c:ser>
        <c:ser>
          <c:idx val="2"/>
          <c:order val="1"/>
          <c:tx>
            <c:strRef>
              <c:f>NN!$C$4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NN!$C$5:$C$14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2A-4294-959A-DB03F9EC1F0A}"/>
            </c:ext>
          </c:extLst>
        </c:ser>
        <c:ser>
          <c:idx val="3"/>
          <c:order val="2"/>
          <c:tx>
            <c:strRef>
              <c:f>NN!$D$4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NN!$D$5:$D$14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2A-4294-959A-DB03F9EC1F0A}"/>
            </c:ext>
          </c:extLst>
        </c:ser>
        <c:ser>
          <c:idx val="4"/>
          <c:order val="3"/>
          <c:tx>
            <c:strRef>
              <c:f>NN!$E$4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NN!$E$5:$E$14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2A-4294-959A-DB03F9EC1F0A}"/>
            </c:ext>
          </c:extLst>
        </c:ser>
        <c:ser>
          <c:idx val="5"/>
          <c:order val="4"/>
          <c:tx>
            <c:strRef>
              <c:f>NN!$F$4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NN!$F$5:$F$14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2A-4294-959A-DB03F9EC1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NN product @ expt 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NN!$B$16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NN!$B$17:$B$26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50-4B60-9231-7391EFA73AF9}"/>
            </c:ext>
          </c:extLst>
        </c:ser>
        <c:ser>
          <c:idx val="2"/>
          <c:order val="1"/>
          <c:tx>
            <c:strRef>
              <c:f>NN!$C$16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NN!$C$17:$C$26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50-4B60-9231-7391EFA73AF9}"/>
            </c:ext>
          </c:extLst>
        </c:ser>
        <c:ser>
          <c:idx val="3"/>
          <c:order val="2"/>
          <c:tx>
            <c:strRef>
              <c:f>NN!$D$16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NN!$D$17:$D$26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50-4B60-9231-7391EFA73AF9}"/>
            </c:ext>
          </c:extLst>
        </c:ser>
        <c:ser>
          <c:idx val="4"/>
          <c:order val="3"/>
          <c:tx>
            <c:strRef>
              <c:f>NN!$E$16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NN!$E$17:$E$26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50-4B60-9231-7391EFA73AF9}"/>
            </c:ext>
          </c:extLst>
        </c:ser>
        <c:ser>
          <c:idx val="5"/>
          <c:order val="4"/>
          <c:tx>
            <c:strRef>
              <c:f>NN!$F$16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NN!$F$17:$F$26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50-4B60-9231-7391EFA73A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NN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NN!$I$4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NN!$I$5:$I$14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A-4591-9FBF-58094D7FAE6C}"/>
            </c:ext>
          </c:extLst>
        </c:ser>
        <c:ser>
          <c:idx val="2"/>
          <c:order val="1"/>
          <c:tx>
            <c:strRef>
              <c:f>NN!$J$4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NN!$J$5:$J$14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DA-4591-9FBF-58094D7FAE6C}"/>
            </c:ext>
          </c:extLst>
        </c:ser>
        <c:ser>
          <c:idx val="3"/>
          <c:order val="2"/>
          <c:tx>
            <c:strRef>
              <c:f>NN!$K$4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NN!$K$5:$K$14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DA-4591-9FBF-58094D7FAE6C}"/>
            </c:ext>
          </c:extLst>
        </c:ser>
        <c:ser>
          <c:idx val="4"/>
          <c:order val="3"/>
          <c:tx>
            <c:strRef>
              <c:f>NN!$L$4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NN!$L$5:$L$14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DA-4591-9FBF-58094D7FAE6C}"/>
            </c:ext>
          </c:extLst>
        </c:ser>
        <c:ser>
          <c:idx val="5"/>
          <c:order val="4"/>
          <c:tx>
            <c:strRef>
              <c:f>NN!$M$4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NN!$M$5:$M$14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DA-4591-9FBF-58094D7FA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NN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NN!$I$16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NN!$I$17:$I$26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F-4217-BBE4-6208E3D03BA0}"/>
            </c:ext>
          </c:extLst>
        </c:ser>
        <c:ser>
          <c:idx val="2"/>
          <c:order val="1"/>
          <c:tx>
            <c:strRef>
              <c:f>NN!$J$16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NN!$J$17:$J$26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CF-4217-BBE4-6208E3D03BA0}"/>
            </c:ext>
          </c:extLst>
        </c:ser>
        <c:ser>
          <c:idx val="3"/>
          <c:order val="2"/>
          <c:tx>
            <c:strRef>
              <c:f>NN!$K$16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NN!$K$17:$K$26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CF-4217-BBE4-6208E3D03BA0}"/>
            </c:ext>
          </c:extLst>
        </c:ser>
        <c:ser>
          <c:idx val="4"/>
          <c:order val="3"/>
          <c:tx>
            <c:strRef>
              <c:f>NN!$L$16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NN!$L$17:$L$26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CF-4217-BBE4-6208E3D03BA0}"/>
            </c:ext>
          </c:extLst>
        </c:ser>
        <c:ser>
          <c:idx val="5"/>
          <c:order val="4"/>
          <c:tx>
            <c:strRef>
              <c:f>NN!$M$16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NN!$M$17:$M$26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CF-4217-BBE4-6208E3D03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HCN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HCN!$B$4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HCN!$B$5:$B$14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1F-4792-9DB4-F72711CD3CD4}"/>
            </c:ext>
          </c:extLst>
        </c:ser>
        <c:ser>
          <c:idx val="2"/>
          <c:order val="1"/>
          <c:tx>
            <c:strRef>
              <c:f>HCN!$C$4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HCN!$C$5:$C$14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1F-4792-9DB4-F72711CD3CD4}"/>
            </c:ext>
          </c:extLst>
        </c:ser>
        <c:ser>
          <c:idx val="3"/>
          <c:order val="2"/>
          <c:tx>
            <c:strRef>
              <c:f>HCN!$D$4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HCN!$D$5:$D$14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1F-4792-9DB4-F72711CD3CD4}"/>
            </c:ext>
          </c:extLst>
        </c:ser>
        <c:ser>
          <c:idx val="4"/>
          <c:order val="3"/>
          <c:tx>
            <c:strRef>
              <c:f>HCN!$E$4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HCN!$E$5:$E$14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1F-4792-9DB4-F72711CD3CD4}"/>
            </c:ext>
          </c:extLst>
        </c:ser>
        <c:ser>
          <c:idx val="5"/>
          <c:order val="4"/>
          <c:tx>
            <c:strRef>
              <c:f>HCN!$F$4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HCN!$F$5:$F$14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1F-4792-9DB4-F72711CD3C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HCN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HCN!$B$16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HCN!$B$17:$B$26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B4-4B20-822E-AC33F09A7EE1}"/>
            </c:ext>
          </c:extLst>
        </c:ser>
        <c:ser>
          <c:idx val="2"/>
          <c:order val="1"/>
          <c:tx>
            <c:strRef>
              <c:f>HCN!$C$16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HCN!$C$17:$C$26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B4-4B20-822E-AC33F09A7EE1}"/>
            </c:ext>
          </c:extLst>
        </c:ser>
        <c:ser>
          <c:idx val="3"/>
          <c:order val="2"/>
          <c:tx>
            <c:strRef>
              <c:f>HCN!$D$16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HCN!$D$17:$D$26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B4-4B20-822E-AC33F09A7EE1}"/>
            </c:ext>
          </c:extLst>
        </c:ser>
        <c:ser>
          <c:idx val="4"/>
          <c:order val="3"/>
          <c:tx>
            <c:strRef>
              <c:f>HCN!$E$16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HCN!$E$17:$E$26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B4-4B20-822E-AC33F09A7EE1}"/>
            </c:ext>
          </c:extLst>
        </c:ser>
        <c:ser>
          <c:idx val="5"/>
          <c:order val="4"/>
          <c:tx>
            <c:strRef>
              <c:f>HCN!$F$16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HCN!$F$17:$F$26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B4-4B20-822E-AC33F09A7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HCN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HCN!$I$4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HCN!$I$5:$I$14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AE-40F3-99ED-2EC88C994B81}"/>
            </c:ext>
          </c:extLst>
        </c:ser>
        <c:ser>
          <c:idx val="2"/>
          <c:order val="1"/>
          <c:tx>
            <c:strRef>
              <c:f>HCN!$J$4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HCN!$J$5:$J$14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AE-40F3-99ED-2EC88C994B81}"/>
            </c:ext>
          </c:extLst>
        </c:ser>
        <c:ser>
          <c:idx val="3"/>
          <c:order val="2"/>
          <c:tx>
            <c:strRef>
              <c:f>HCN!$K$4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HCN!$K$5:$K$14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AE-40F3-99ED-2EC88C994B81}"/>
            </c:ext>
          </c:extLst>
        </c:ser>
        <c:ser>
          <c:idx val="4"/>
          <c:order val="3"/>
          <c:tx>
            <c:strRef>
              <c:f>HCN!$L$4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HCN!$L$5:$L$14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AE-40F3-99ED-2EC88C994B81}"/>
            </c:ext>
          </c:extLst>
        </c:ser>
        <c:ser>
          <c:idx val="5"/>
          <c:order val="4"/>
          <c:tx>
            <c:strRef>
              <c:f>HCN!$M$4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HCN!$M$5:$M$14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AE-40F3-99ED-2EC88C994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HCN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HCN!$I$16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HCN!$I$17:$I$26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C-4B90-8B8B-FB408777D378}"/>
            </c:ext>
          </c:extLst>
        </c:ser>
        <c:ser>
          <c:idx val="2"/>
          <c:order val="1"/>
          <c:tx>
            <c:strRef>
              <c:f>HCN!$J$16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HCN!$J$17:$J$26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9C-4B90-8B8B-FB408777D378}"/>
            </c:ext>
          </c:extLst>
        </c:ser>
        <c:ser>
          <c:idx val="3"/>
          <c:order val="2"/>
          <c:tx>
            <c:strRef>
              <c:f>HCN!$K$16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HCN!$K$17:$K$26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9C-4B90-8B8B-FB408777D378}"/>
            </c:ext>
          </c:extLst>
        </c:ser>
        <c:ser>
          <c:idx val="4"/>
          <c:order val="3"/>
          <c:tx>
            <c:strRef>
              <c:f>HCN!$L$16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HCN!$L$17:$L$26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9C-4B90-8B8B-FB408777D378}"/>
            </c:ext>
          </c:extLst>
        </c:ser>
        <c:ser>
          <c:idx val="5"/>
          <c:order val="4"/>
          <c:tx>
            <c:strRef>
              <c:f>HCN!$M$16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HCN!$M$17:$M$26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9C-4B90-8B8B-FB408777D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HHC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HHC!$B$4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HHC!$B$5:$B$14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EC-473B-8FD9-AC70DBDC80B0}"/>
            </c:ext>
          </c:extLst>
        </c:ser>
        <c:ser>
          <c:idx val="2"/>
          <c:order val="1"/>
          <c:tx>
            <c:strRef>
              <c:f>HHC!$C$4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HHC!$C$5:$C$14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EC-473B-8FD9-AC70DBDC80B0}"/>
            </c:ext>
          </c:extLst>
        </c:ser>
        <c:ser>
          <c:idx val="3"/>
          <c:order val="2"/>
          <c:tx>
            <c:strRef>
              <c:f>HHC!$D$4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HHC!$D$5:$D$14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EC-473B-8FD9-AC70DBDC80B0}"/>
            </c:ext>
          </c:extLst>
        </c:ser>
        <c:ser>
          <c:idx val="4"/>
          <c:order val="3"/>
          <c:tx>
            <c:strRef>
              <c:f>HHC!$E$4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HHC!$E$5:$E$14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EC-473B-8FD9-AC70DBDC80B0}"/>
            </c:ext>
          </c:extLst>
        </c:ser>
        <c:ser>
          <c:idx val="5"/>
          <c:order val="4"/>
          <c:tx>
            <c:strRef>
              <c:f>HHC!$F$4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HHC!$F$5:$F$14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EC-473B-8FD9-AC70DBDC8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decan-3-nitrate OH reaction rates by site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'BR3'!$A$3:$A$13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'BR3'!$F$3:$F$13</c:f>
              <c:numCache>
                <c:formatCode>0.00E+00</c:formatCode>
                <c:ptCount val="11"/>
                <c:pt idx="0">
                  <c:v>1.757E-13</c:v>
                </c:pt>
                <c:pt idx="1">
                  <c:v>2.0759999999999999E-13</c:v>
                </c:pt>
                <c:pt idx="2">
                  <c:v>1.086E-13</c:v>
                </c:pt>
                <c:pt idx="4">
                  <c:v>2.8020000000000001E-13</c:v>
                </c:pt>
                <c:pt idx="5">
                  <c:v>1.401E-12</c:v>
                </c:pt>
                <c:pt idx="6">
                  <c:v>1.401E-12</c:v>
                </c:pt>
                <c:pt idx="7">
                  <c:v>1.401E-12</c:v>
                </c:pt>
                <c:pt idx="8">
                  <c:v>1.401E-12</c:v>
                </c:pt>
                <c:pt idx="9">
                  <c:v>1.038E-12</c:v>
                </c:pt>
                <c:pt idx="10">
                  <c:v>1.757E-13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3BB-4EDE-B487-3ACF5459D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987440"/>
        <c:axId val="1054984112"/>
      </c:scatterChart>
      <c:valAx>
        <c:axId val="1054987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4112"/>
        <c:crosses val="autoZero"/>
        <c:crossBetween val="midCat"/>
      </c:valAx>
      <c:valAx>
        <c:axId val="105498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7440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HHC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HHC!$B$16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HHC!$B$17:$B$26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41-4E5B-ABCE-7996A739783D}"/>
            </c:ext>
          </c:extLst>
        </c:ser>
        <c:ser>
          <c:idx val="2"/>
          <c:order val="1"/>
          <c:tx>
            <c:strRef>
              <c:f>HHC!$C$16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HHC!$C$17:$C$26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41-4E5B-ABCE-7996A739783D}"/>
            </c:ext>
          </c:extLst>
        </c:ser>
        <c:ser>
          <c:idx val="3"/>
          <c:order val="2"/>
          <c:tx>
            <c:strRef>
              <c:f>HHC!$D$16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HHC!$D$17:$D$26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41-4E5B-ABCE-7996A739783D}"/>
            </c:ext>
          </c:extLst>
        </c:ser>
        <c:ser>
          <c:idx val="4"/>
          <c:order val="3"/>
          <c:tx>
            <c:strRef>
              <c:f>HHC!$E$16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HHC!$E$17:$E$26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41-4E5B-ABCE-7996A739783D}"/>
            </c:ext>
          </c:extLst>
        </c:ser>
        <c:ser>
          <c:idx val="5"/>
          <c:order val="4"/>
          <c:tx>
            <c:strRef>
              <c:f>HHC!$F$16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HHC!$F$17:$F$26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41-4E5B-ABCE-7996A73978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HHC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HHC!$I$4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HHC!$I$5:$I$14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A-4214-8E85-A4D12AEF411E}"/>
            </c:ext>
          </c:extLst>
        </c:ser>
        <c:ser>
          <c:idx val="2"/>
          <c:order val="1"/>
          <c:tx>
            <c:strRef>
              <c:f>HHC!$J$4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HHC!$J$5:$J$14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9A-4214-8E85-A4D12AEF411E}"/>
            </c:ext>
          </c:extLst>
        </c:ser>
        <c:ser>
          <c:idx val="3"/>
          <c:order val="2"/>
          <c:tx>
            <c:strRef>
              <c:f>HHC!$K$4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HHC!$K$5:$K$14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9A-4214-8E85-A4D12AEF411E}"/>
            </c:ext>
          </c:extLst>
        </c:ser>
        <c:ser>
          <c:idx val="4"/>
          <c:order val="3"/>
          <c:tx>
            <c:strRef>
              <c:f>HHC!$L$4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HHC!$L$5:$L$14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9A-4214-8E85-A4D12AEF411E}"/>
            </c:ext>
          </c:extLst>
        </c:ser>
        <c:ser>
          <c:idx val="5"/>
          <c:order val="4"/>
          <c:tx>
            <c:strRef>
              <c:f>HHC!$M$4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HHC!$M$5:$M$14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9A-4214-8E85-A4D12AEF41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HHC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HHC!$I$16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HHC!$I$17:$I$26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67-48BE-9AF5-C2E2B54812BD}"/>
            </c:ext>
          </c:extLst>
        </c:ser>
        <c:ser>
          <c:idx val="2"/>
          <c:order val="1"/>
          <c:tx>
            <c:strRef>
              <c:f>HHC!$J$16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HHC!$J$17:$J$26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67-48BE-9AF5-C2E2B54812BD}"/>
            </c:ext>
          </c:extLst>
        </c:ser>
        <c:ser>
          <c:idx val="3"/>
          <c:order val="2"/>
          <c:tx>
            <c:strRef>
              <c:f>HHC!$K$16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HHC!$K$17:$K$26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67-48BE-9AF5-C2E2B54812BD}"/>
            </c:ext>
          </c:extLst>
        </c:ser>
        <c:ser>
          <c:idx val="4"/>
          <c:order val="3"/>
          <c:tx>
            <c:strRef>
              <c:f>HHC!$L$16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HHC!$L$17:$L$26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67-48BE-9AF5-C2E2B54812BD}"/>
            </c:ext>
          </c:extLst>
        </c:ser>
        <c:ser>
          <c:idx val="5"/>
          <c:order val="4"/>
          <c:tx>
            <c:strRef>
              <c:f>HHC!$M$16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HHC!$M$17:$M$26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67-48BE-9AF5-C2E2B5481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HHN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HHN!$B$4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HHN!$B$5:$B$14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B-4367-BAEF-DDFCF6D61B7F}"/>
            </c:ext>
          </c:extLst>
        </c:ser>
        <c:ser>
          <c:idx val="2"/>
          <c:order val="1"/>
          <c:tx>
            <c:strRef>
              <c:f>HHN!$C$4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HHN!$C$5:$C$14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1B-4367-BAEF-DDFCF6D61B7F}"/>
            </c:ext>
          </c:extLst>
        </c:ser>
        <c:ser>
          <c:idx val="3"/>
          <c:order val="2"/>
          <c:tx>
            <c:strRef>
              <c:f>HHN!$D$4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HHN!$D$5:$D$14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1B-4367-BAEF-DDFCF6D61B7F}"/>
            </c:ext>
          </c:extLst>
        </c:ser>
        <c:ser>
          <c:idx val="4"/>
          <c:order val="3"/>
          <c:tx>
            <c:strRef>
              <c:f>HHN!$E$4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HHN!$E$5:$E$14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1B-4367-BAEF-DDFCF6D61B7F}"/>
            </c:ext>
          </c:extLst>
        </c:ser>
        <c:ser>
          <c:idx val="5"/>
          <c:order val="4"/>
          <c:tx>
            <c:strRef>
              <c:f>HHN!$F$4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HHN!$F$5:$F$14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1B-4367-BAEF-DDFCF6D61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HHN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HHN!$B$16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HHN!$B$17:$B$26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C5-4E0D-A0CA-68841D0F41ED}"/>
            </c:ext>
          </c:extLst>
        </c:ser>
        <c:ser>
          <c:idx val="2"/>
          <c:order val="1"/>
          <c:tx>
            <c:strRef>
              <c:f>HHN!$C$16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HHN!$C$17:$C$26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C5-4E0D-A0CA-68841D0F41ED}"/>
            </c:ext>
          </c:extLst>
        </c:ser>
        <c:ser>
          <c:idx val="3"/>
          <c:order val="2"/>
          <c:tx>
            <c:strRef>
              <c:f>HHN!$D$16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HHN!$D$17:$D$26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C5-4E0D-A0CA-68841D0F41ED}"/>
            </c:ext>
          </c:extLst>
        </c:ser>
        <c:ser>
          <c:idx val="4"/>
          <c:order val="3"/>
          <c:tx>
            <c:strRef>
              <c:f>HHN!$E$16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HHN!$E$17:$E$26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C5-4E0D-A0CA-68841D0F41ED}"/>
            </c:ext>
          </c:extLst>
        </c:ser>
        <c:ser>
          <c:idx val="5"/>
          <c:order val="4"/>
          <c:tx>
            <c:strRef>
              <c:f>HHN!$F$16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HHN!$F$17:$F$26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5-4E0D-A0CA-68841D0F41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HHN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HHN!$I$4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HHN!$I$5:$I$14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C3-4325-B5A3-8B08BD59D7B2}"/>
            </c:ext>
          </c:extLst>
        </c:ser>
        <c:ser>
          <c:idx val="2"/>
          <c:order val="1"/>
          <c:tx>
            <c:strRef>
              <c:f>HHN!$J$4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HHN!$J$5:$J$14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C3-4325-B5A3-8B08BD59D7B2}"/>
            </c:ext>
          </c:extLst>
        </c:ser>
        <c:ser>
          <c:idx val="3"/>
          <c:order val="2"/>
          <c:tx>
            <c:strRef>
              <c:f>HHN!$K$4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HHN!$K$5:$K$14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C3-4325-B5A3-8B08BD59D7B2}"/>
            </c:ext>
          </c:extLst>
        </c:ser>
        <c:ser>
          <c:idx val="4"/>
          <c:order val="3"/>
          <c:tx>
            <c:strRef>
              <c:f>HHN!$L$4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HHN!$L$5:$L$14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C3-4325-B5A3-8B08BD59D7B2}"/>
            </c:ext>
          </c:extLst>
        </c:ser>
        <c:ser>
          <c:idx val="5"/>
          <c:order val="4"/>
          <c:tx>
            <c:strRef>
              <c:f>HHN!$M$4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HHN!$M$5:$M$14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C3-4325-B5A3-8B08BD59D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HHN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HHN!$I$16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HHN!$I$17:$I$26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D5-4629-A34D-E30DDE3AED43}"/>
            </c:ext>
          </c:extLst>
        </c:ser>
        <c:ser>
          <c:idx val="2"/>
          <c:order val="1"/>
          <c:tx>
            <c:strRef>
              <c:f>HHN!$J$16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HHN!$J$17:$J$26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D5-4629-A34D-E30DDE3AED43}"/>
            </c:ext>
          </c:extLst>
        </c:ser>
        <c:ser>
          <c:idx val="3"/>
          <c:order val="2"/>
          <c:tx>
            <c:strRef>
              <c:f>HHN!$K$16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HHN!$K$17:$K$26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D5-4629-A34D-E30DDE3AED43}"/>
            </c:ext>
          </c:extLst>
        </c:ser>
        <c:ser>
          <c:idx val="4"/>
          <c:order val="3"/>
          <c:tx>
            <c:strRef>
              <c:f>HHN!$L$16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HHN!$L$17:$L$26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D5-4629-A34D-E30DDE3AED43}"/>
            </c:ext>
          </c:extLst>
        </c:ser>
        <c:ser>
          <c:idx val="5"/>
          <c:order val="4"/>
          <c:tx>
            <c:strRef>
              <c:f>HHN!$M$16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HHN!$M$17:$M$26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D5-4629-A34D-E30DDE3AE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HNN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HNN!$B$4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HNN!$B$5:$B$14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5E-471A-996A-54FF059B6A55}"/>
            </c:ext>
          </c:extLst>
        </c:ser>
        <c:ser>
          <c:idx val="2"/>
          <c:order val="1"/>
          <c:tx>
            <c:strRef>
              <c:f>HNN!$C$4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HNN!$C$5:$C$14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5E-471A-996A-54FF059B6A55}"/>
            </c:ext>
          </c:extLst>
        </c:ser>
        <c:ser>
          <c:idx val="3"/>
          <c:order val="2"/>
          <c:tx>
            <c:strRef>
              <c:f>HNN!$D$4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HNN!$D$5:$D$14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5E-471A-996A-54FF059B6A55}"/>
            </c:ext>
          </c:extLst>
        </c:ser>
        <c:ser>
          <c:idx val="4"/>
          <c:order val="3"/>
          <c:tx>
            <c:strRef>
              <c:f>HNN!$E$4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HNN!$E$5:$E$14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5E-471A-996A-54FF059B6A55}"/>
            </c:ext>
          </c:extLst>
        </c:ser>
        <c:ser>
          <c:idx val="5"/>
          <c:order val="4"/>
          <c:tx>
            <c:strRef>
              <c:f>HNN!$F$4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HNN!$F$5:$F$14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5E-471A-996A-54FF059B6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HNN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HNN!$B$16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HNN!$B$17:$B$26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09-428F-B123-3543FA8D2052}"/>
            </c:ext>
          </c:extLst>
        </c:ser>
        <c:ser>
          <c:idx val="2"/>
          <c:order val="1"/>
          <c:tx>
            <c:strRef>
              <c:f>HNN!$C$16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HNN!$C$17:$C$26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09-428F-B123-3543FA8D2052}"/>
            </c:ext>
          </c:extLst>
        </c:ser>
        <c:ser>
          <c:idx val="3"/>
          <c:order val="2"/>
          <c:tx>
            <c:strRef>
              <c:f>HNN!$D$16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HNN!$D$17:$D$26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09-428F-B123-3543FA8D2052}"/>
            </c:ext>
          </c:extLst>
        </c:ser>
        <c:ser>
          <c:idx val="4"/>
          <c:order val="3"/>
          <c:tx>
            <c:strRef>
              <c:f>HNN!$E$16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HNN!$E$17:$E$26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09-428F-B123-3543FA8D2052}"/>
            </c:ext>
          </c:extLst>
        </c:ser>
        <c:ser>
          <c:idx val="5"/>
          <c:order val="4"/>
          <c:tx>
            <c:strRef>
              <c:f>HNN!$F$16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HNN!$F$17:$F$26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09-428F-B123-3543FA8D20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HNN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HNN!$I$4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HNN!$I$5:$I$14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11-4F7A-AA05-12BDF1FE5690}"/>
            </c:ext>
          </c:extLst>
        </c:ser>
        <c:ser>
          <c:idx val="2"/>
          <c:order val="1"/>
          <c:tx>
            <c:strRef>
              <c:f>HNN!$J$4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HNN!$J$5:$J$14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11-4F7A-AA05-12BDF1FE5690}"/>
            </c:ext>
          </c:extLst>
        </c:ser>
        <c:ser>
          <c:idx val="3"/>
          <c:order val="2"/>
          <c:tx>
            <c:strRef>
              <c:f>HNN!$K$4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HNN!$K$5:$K$14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11-4F7A-AA05-12BDF1FE5690}"/>
            </c:ext>
          </c:extLst>
        </c:ser>
        <c:ser>
          <c:idx val="4"/>
          <c:order val="3"/>
          <c:tx>
            <c:strRef>
              <c:f>HNN!$L$4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HNN!$L$5:$L$14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11-4F7A-AA05-12BDF1FE5690}"/>
            </c:ext>
          </c:extLst>
        </c:ser>
        <c:ser>
          <c:idx val="5"/>
          <c:order val="4"/>
          <c:tx>
            <c:strRef>
              <c:f>HNN!$M$4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HNN!$M$5:$M$14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11-4F7A-AA05-12BDF1FE56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decan-3-nitrate + OH branching ratios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B77-4039-A13E-A82027AFDD8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B77-4039-A13E-A82027AFDD8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B77-4039-A13E-A82027AFDD8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B77-4039-A13E-A82027AFDD8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B77-4039-A13E-A82027AFDD8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B77-4039-A13E-A82027AFDD8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8B77-4039-A13E-A82027AFDD8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8B77-4039-A13E-A82027AFDD8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8B77-4039-A13E-A82027AFDD8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8B77-4039-A13E-A82027AFDD8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8B77-4039-A13E-A82027AFDD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'BR3'!$A$3:$B$13</c:f>
              <c:strCach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strCache>
            </c:strRef>
          </c:cat>
          <c:val>
            <c:numRef>
              <c:f>'BR3'!$I$3:$I$13</c:f>
              <c:numCache>
                <c:formatCode>0.0%</c:formatCode>
                <c:ptCount val="11"/>
                <c:pt idx="0">
                  <c:v>2.3149490105141109E-2</c:v>
                </c:pt>
                <c:pt idx="1">
                  <c:v>2.7352499407098999E-2</c:v>
                </c:pt>
                <c:pt idx="2">
                  <c:v>1.4308677435505545E-2</c:v>
                </c:pt>
                <c:pt idx="4">
                  <c:v>3.6917968852934198E-2</c:v>
                </c:pt>
                <c:pt idx="5">
                  <c:v>0.18458984426467098</c:v>
                </c:pt>
                <c:pt idx="6">
                  <c:v>0.18458984426467098</c:v>
                </c:pt>
                <c:pt idx="7">
                  <c:v>0.18458984426467098</c:v>
                </c:pt>
                <c:pt idx="8">
                  <c:v>0.18458984426467098</c:v>
                </c:pt>
                <c:pt idx="9">
                  <c:v>0.13676249703549501</c:v>
                </c:pt>
                <c:pt idx="10">
                  <c:v>2.3149490105141109E-2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8B77-4039-A13E-A82027AFDD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HNN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HNN!$I$16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HNN!$I$17:$I$26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43-4C69-A246-35A70A45BDEA}"/>
            </c:ext>
          </c:extLst>
        </c:ser>
        <c:ser>
          <c:idx val="2"/>
          <c:order val="1"/>
          <c:tx>
            <c:strRef>
              <c:f>HNN!$J$16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HNN!$J$17:$J$26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43-4C69-A246-35A70A45BDEA}"/>
            </c:ext>
          </c:extLst>
        </c:ser>
        <c:ser>
          <c:idx val="3"/>
          <c:order val="2"/>
          <c:tx>
            <c:strRef>
              <c:f>HNN!$K$16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HNN!$K$17:$K$26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43-4C69-A246-35A70A45BDEA}"/>
            </c:ext>
          </c:extLst>
        </c:ser>
        <c:ser>
          <c:idx val="4"/>
          <c:order val="3"/>
          <c:tx>
            <c:strRef>
              <c:f>HNN!$L$16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HNN!$L$17:$L$26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43-4C69-A246-35A70A45BDEA}"/>
            </c:ext>
          </c:extLst>
        </c:ser>
        <c:ser>
          <c:idx val="5"/>
          <c:order val="4"/>
          <c:tx>
            <c:strRef>
              <c:f>HNN!$M$16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HNN!$M$17:$M$26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43-4C69-A246-35A70A45BD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HHCN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HHCN!$B$4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HHCN!$B$5:$B$14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4-4A25-8738-843C76B91410}"/>
            </c:ext>
          </c:extLst>
        </c:ser>
        <c:ser>
          <c:idx val="2"/>
          <c:order val="1"/>
          <c:tx>
            <c:strRef>
              <c:f>HHCN!$C$4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HHCN!$C$5:$C$14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4-4A25-8738-843C76B91410}"/>
            </c:ext>
          </c:extLst>
        </c:ser>
        <c:ser>
          <c:idx val="3"/>
          <c:order val="2"/>
          <c:tx>
            <c:strRef>
              <c:f>HHCN!$D$4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HHCN!$D$5:$D$14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94-4A25-8738-843C76B91410}"/>
            </c:ext>
          </c:extLst>
        </c:ser>
        <c:ser>
          <c:idx val="4"/>
          <c:order val="3"/>
          <c:tx>
            <c:strRef>
              <c:f>HHCN!$E$4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HHCN!$E$5:$E$14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94-4A25-8738-843C76B91410}"/>
            </c:ext>
          </c:extLst>
        </c:ser>
        <c:ser>
          <c:idx val="5"/>
          <c:order val="4"/>
          <c:tx>
            <c:strRef>
              <c:f>HHCN!$F$4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HHCN!$F$5:$F$14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94-4A25-8738-843C76B914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HHCN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HHCN!$B$16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HHCN!$B$17:$B$26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7C-4A4D-83D6-00101EF15BDD}"/>
            </c:ext>
          </c:extLst>
        </c:ser>
        <c:ser>
          <c:idx val="2"/>
          <c:order val="1"/>
          <c:tx>
            <c:strRef>
              <c:f>HHCN!$C$16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HHCN!$C$17:$C$26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7C-4A4D-83D6-00101EF15BDD}"/>
            </c:ext>
          </c:extLst>
        </c:ser>
        <c:ser>
          <c:idx val="3"/>
          <c:order val="2"/>
          <c:tx>
            <c:strRef>
              <c:f>HHCN!$D$16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HHCN!$D$17:$D$26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7C-4A4D-83D6-00101EF15BDD}"/>
            </c:ext>
          </c:extLst>
        </c:ser>
        <c:ser>
          <c:idx val="4"/>
          <c:order val="3"/>
          <c:tx>
            <c:strRef>
              <c:f>HHCN!$E$16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HHCN!$E$17:$E$26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7C-4A4D-83D6-00101EF15BDD}"/>
            </c:ext>
          </c:extLst>
        </c:ser>
        <c:ser>
          <c:idx val="5"/>
          <c:order val="4"/>
          <c:tx>
            <c:strRef>
              <c:f>HHCN!$F$16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HHCN!$F$17:$F$26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7C-4A4D-83D6-00101EF1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HHCN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HHCN!$I$4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HHCN!$I$5:$I$14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6F-4110-95B3-0EBA9FAB248A}"/>
            </c:ext>
          </c:extLst>
        </c:ser>
        <c:ser>
          <c:idx val="2"/>
          <c:order val="1"/>
          <c:tx>
            <c:strRef>
              <c:f>HHCN!$J$4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HHCN!$J$5:$J$14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6F-4110-95B3-0EBA9FAB248A}"/>
            </c:ext>
          </c:extLst>
        </c:ser>
        <c:ser>
          <c:idx val="3"/>
          <c:order val="2"/>
          <c:tx>
            <c:strRef>
              <c:f>HHCN!$K$4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HHCN!$K$5:$K$14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6F-4110-95B3-0EBA9FAB248A}"/>
            </c:ext>
          </c:extLst>
        </c:ser>
        <c:ser>
          <c:idx val="4"/>
          <c:order val="3"/>
          <c:tx>
            <c:strRef>
              <c:f>HHCN!$L$4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HHCN!$L$5:$L$14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6F-4110-95B3-0EBA9FAB248A}"/>
            </c:ext>
          </c:extLst>
        </c:ser>
        <c:ser>
          <c:idx val="5"/>
          <c:order val="4"/>
          <c:tx>
            <c:strRef>
              <c:f>HHCN!$M$4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HHCN!$M$5:$M$14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6F-4110-95B3-0EBA9FAB24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HHCN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HHCN!$I$16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HHCN!$I$17:$I$26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09-4346-90FF-C7CB561BDBBB}"/>
            </c:ext>
          </c:extLst>
        </c:ser>
        <c:ser>
          <c:idx val="2"/>
          <c:order val="1"/>
          <c:tx>
            <c:strRef>
              <c:f>HHCN!$J$16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HHCN!$J$17:$J$26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09-4346-90FF-C7CB561BDBBB}"/>
            </c:ext>
          </c:extLst>
        </c:ser>
        <c:ser>
          <c:idx val="3"/>
          <c:order val="2"/>
          <c:tx>
            <c:strRef>
              <c:f>HHCN!$K$16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HHCN!$K$17:$K$26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09-4346-90FF-C7CB561BDBBB}"/>
            </c:ext>
          </c:extLst>
        </c:ser>
        <c:ser>
          <c:idx val="4"/>
          <c:order val="3"/>
          <c:tx>
            <c:strRef>
              <c:f>HHCN!$L$16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HHCN!$L$17:$L$26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09-4346-90FF-C7CB561BDBBB}"/>
            </c:ext>
          </c:extLst>
        </c:ser>
        <c:ser>
          <c:idx val="5"/>
          <c:order val="4"/>
          <c:tx>
            <c:strRef>
              <c:f>HHCN!$M$16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HHCN!$M$17:$M$26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09-4346-90FF-C7CB561BD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HHHN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HHNN!$B$4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HHNN!$B$5:$B$14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0B-490F-9793-B24A79494413}"/>
            </c:ext>
          </c:extLst>
        </c:ser>
        <c:ser>
          <c:idx val="2"/>
          <c:order val="1"/>
          <c:tx>
            <c:strRef>
              <c:f>HHNN!$C$4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HHNN!$C$5:$C$14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0B-490F-9793-B24A79494413}"/>
            </c:ext>
          </c:extLst>
        </c:ser>
        <c:ser>
          <c:idx val="3"/>
          <c:order val="2"/>
          <c:tx>
            <c:strRef>
              <c:f>HHNN!$D$4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HHNN!$D$5:$D$14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0B-490F-9793-B24A79494413}"/>
            </c:ext>
          </c:extLst>
        </c:ser>
        <c:ser>
          <c:idx val="4"/>
          <c:order val="3"/>
          <c:tx>
            <c:strRef>
              <c:f>HHNN!$E$4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HHNN!$E$5:$E$14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0B-490F-9793-B24A79494413}"/>
            </c:ext>
          </c:extLst>
        </c:ser>
        <c:ser>
          <c:idx val="5"/>
          <c:order val="4"/>
          <c:tx>
            <c:strRef>
              <c:f>HHNN!$F$4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HHNN!$F$5:$F$14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0B-490F-9793-B24A79494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HHHN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HHNN!$B$16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HHNN!$B$17:$B$26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A2-416D-928D-5A762C610C4A}"/>
            </c:ext>
          </c:extLst>
        </c:ser>
        <c:ser>
          <c:idx val="2"/>
          <c:order val="1"/>
          <c:tx>
            <c:strRef>
              <c:f>HHNN!$C$16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HHNN!$C$17:$C$26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A2-416D-928D-5A762C610C4A}"/>
            </c:ext>
          </c:extLst>
        </c:ser>
        <c:ser>
          <c:idx val="3"/>
          <c:order val="2"/>
          <c:tx>
            <c:strRef>
              <c:f>HHNN!$D$16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HHNN!$D$17:$D$26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A2-416D-928D-5A762C610C4A}"/>
            </c:ext>
          </c:extLst>
        </c:ser>
        <c:ser>
          <c:idx val="4"/>
          <c:order val="3"/>
          <c:tx>
            <c:strRef>
              <c:f>HHNN!$E$16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HHNN!$E$17:$E$26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A2-416D-928D-5A762C610C4A}"/>
            </c:ext>
          </c:extLst>
        </c:ser>
        <c:ser>
          <c:idx val="5"/>
          <c:order val="4"/>
          <c:tx>
            <c:strRef>
              <c:f>HHNN!$F$16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HHNN!$F$17:$F$26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A2-416D-928D-5A762C610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HHHN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HHNN!$I$4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HHNN!$I$5:$I$14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C-4994-8E67-63214D9A8088}"/>
            </c:ext>
          </c:extLst>
        </c:ser>
        <c:ser>
          <c:idx val="2"/>
          <c:order val="1"/>
          <c:tx>
            <c:strRef>
              <c:f>HHNN!$J$4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HHNN!$J$5:$J$14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C-4994-8E67-63214D9A8088}"/>
            </c:ext>
          </c:extLst>
        </c:ser>
        <c:ser>
          <c:idx val="3"/>
          <c:order val="2"/>
          <c:tx>
            <c:strRef>
              <c:f>HHNN!$K$4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HHNN!$K$5:$K$14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BC-4994-8E67-63214D9A8088}"/>
            </c:ext>
          </c:extLst>
        </c:ser>
        <c:ser>
          <c:idx val="4"/>
          <c:order val="3"/>
          <c:tx>
            <c:strRef>
              <c:f>HHNN!$L$4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HHNN!$L$5:$L$14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BC-4994-8E67-63214D9A8088}"/>
            </c:ext>
          </c:extLst>
        </c:ser>
        <c:ser>
          <c:idx val="5"/>
          <c:order val="4"/>
          <c:tx>
            <c:strRef>
              <c:f>HHNN!$M$4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HHNN!$M$5:$M$14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BC-4994-8E67-63214D9A8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HHHN product @ 60m: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HHNN!$I$16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HHNN!$I$17:$I$26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8B-4F8D-BD1A-4109F730BB82}"/>
            </c:ext>
          </c:extLst>
        </c:ser>
        <c:ser>
          <c:idx val="2"/>
          <c:order val="1"/>
          <c:tx>
            <c:strRef>
              <c:f>HHNN!$J$16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HHNN!$J$17:$J$26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8B-4F8D-BD1A-4109F730BB82}"/>
            </c:ext>
          </c:extLst>
        </c:ser>
        <c:ser>
          <c:idx val="3"/>
          <c:order val="2"/>
          <c:tx>
            <c:strRef>
              <c:f>HHNN!$K$16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HHNN!$K$17:$K$26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8B-4F8D-BD1A-4109F730BB82}"/>
            </c:ext>
          </c:extLst>
        </c:ser>
        <c:ser>
          <c:idx val="4"/>
          <c:order val="3"/>
          <c:tx>
            <c:strRef>
              <c:f>HHNN!$L$16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HHNN!$L$17:$L$26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8B-4F8D-BD1A-4109F730BB82}"/>
            </c:ext>
          </c:extLst>
        </c:ser>
        <c:ser>
          <c:idx val="5"/>
          <c:order val="4"/>
          <c:tx>
            <c:strRef>
              <c:f>HHNN!$M$16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HHNN!$M$17:$M$26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8B-4F8D-BD1A-4109F730B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DCMP product @ 60s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DCMP!$B$4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DCMP!$B$5:$B$14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56-457E-A590-A32A64AA2FAD}"/>
            </c:ext>
          </c:extLst>
        </c:ser>
        <c:ser>
          <c:idx val="2"/>
          <c:order val="1"/>
          <c:tx>
            <c:strRef>
              <c:f>DCMP!$C$4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DCMP!$C$5:$C$14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56-457E-A590-A32A64AA2FAD}"/>
            </c:ext>
          </c:extLst>
        </c:ser>
        <c:ser>
          <c:idx val="3"/>
          <c:order val="2"/>
          <c:tx>
            <c:strRef>
              <c:f>DCMP!$D$4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DCMP!$D$5:$D$14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56-457E-A590-A32A64AA2FAD}"/>
            </c:ext>
          </c:extLst>
        </c:ser>
        <c:ser>
          <c:idx val="4"/>
          <c:order val="3"/>
          <c:tx>
            <c:strRef>
              <c:f>DCMP!$E$4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DCMP!$E$5:$E$14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56-457E-A590-A32A64AA2FAD}"/>
            </c:ext>
          </c:extLst>
        </c:ser>
        <c:ser>
          <c:idx val="5"/>
          <c:order val="4"/>
          <c:tx>
            <c:strRef>
              <c:f>DCMP!$F$4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DCMP!$F$5:$F$14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56-457E-A590-A32A64AA2F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decan-4-nitrate OH reaction rates by site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'BR4'!$A$3:$A$13</c:f>
              <c:numCache>
                <c:formatCode>General</c:formatCode>
                <c:ptCount val="11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'BR4'!$F$3:$F$13</c:f>
              <c:numCache>
                <c:formatCode>0.00E+00</c:formatCode>
                <c:ptCount val="11"/>
                <c:pt idx="1">
                  <c:v>1.757E-13</c:v>
                </c:pt>
                <c:pt idx="2">
                  <c:v>1.038E-12</c:v>
                </c:pt>
                <c:pt idx="3">
                  <c:v>2.8020000000000001E-13</c:v>
                </c:pt>
                <c:pt idx="4">
                  <c:v>1.086E-13</c:v>
                </c:pt>
                <c:pt idx="5">
                  <c:v>2.8020000000000001E-13</c:v>
                </c:pt>
                <c:pt idx="6">
                  <c:v>1.401E-12</c:v>
                </c:pt>
                <c:pt idx="7">
                  <c:v>1.401E-12</c:v>
                </c:pt>
                <c:pt idx="8">
                  <c:v>1.401E-12</c:v>
                </c:pt>
                <c:pt idx="9">
                  <c:v>1.038E-12</c:v>
                </c:pt>
                <c:pt idx="10">
                  <c:v>1.757E-13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8D-4C33-B8A7-5F988636C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987440"/>
        <c:axId val="1054984112"/>
      </c:scatterChart>
      <c:valAx>
        <c:axId val="1054987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4112"/>
        <c:crosses val="autoZero"/>
        <c:crossBetween val="midCat"/>
      </c:valAx>
      <c:valAx>
        <c:axId val="105498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7440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DCMP product @ expt end</a:t>
            </a:r>
          </a:p>
        </c:rich>
      </c:tx>
      <c:layout>
        <c:manualLayout>
          <c:xMode val="edge"/>
          <c:yMode val="edge"/>
          <c:x val="0.25235017204618859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DCMP!$B$16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DCMP!$B$17:$B$26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1F-404B-8BEC-72840764D86F}"/>
            </c:ext>
          </c:extLst>
        </c:ser>
        <c:ser>
          <c:idx val="2"/>
          <c:order val="1"/>
          <c:tx>
            <c:strRef>
              <c:f>DCMP!$C$16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DCMP!$C$17:$C$26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1F-404B-8BEC-72840764D86F}"/>
            </c:ext>
          </c:extLst>
        </c:ser>
        <c:ser>
          <c:idx val="3"/>
          <c:order val="2"/>
          <c:tx>
            <c:strRef>
              <c:f>DCMP!$D$16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DCMP!$D$17:$D$26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1F-404B-8BEC-72840764D86F}"/>
            </c:ext>
          </c:extLst>
        </c:ser>
        <c:ser>
          <c:idx val="4"/>
          <c:order val="3"/>
          <c:tx>
            <c:strRef>
              <c:f>DCMP!$E$16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DCMP!$E$17:$E$26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1F-404B-8BEC-72840764D86F}"/>
            </c:ext>
          </c:extLst>
        </c:ser>
        <c:ser>
          <c:idx val="5"/>
          <c:order val="4"/>
          <c:tx>
            <c:strRef>
              <c:f>DCMP!$F$16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DCMP!$F$17:$F$26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1F-404B-8BEC-72840764D8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DCMP product @ 60s: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DCMP!$I$4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DCMP!$I$5:$I$14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0-4F74-BB11-551D6C462D83}"/>
            </c:ext>
          </c:extLst>
        </c:ser>
        <c:ser>
          <c:idx val="2"/>
          <c:order val="1"/>
          <c:tx>
            <c:strRef>
              <c:f>DCMP!$J$4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DCMP!$J$5:$J$14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0-4F74-BB11-551D6C462D83}"/>
            </c:ext>
          </c:extLst>
        </c:ser>
        <c:ser>
          <c:idx val="3"/>
          <c:order val="2"/>
          <c:tx>
            <c:strRef>
              <c:f>DCMP!$K$4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DCMP!$K$5:$K$14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0-4F74-BB11-551D6C462D83}"/>
            </c:ext>
          </c:extLst>
        </c:ser>
        <c:ser>
          <c:idx val="4"/>
          <c:order val="3"/>
          <c:tx>
            <c:strRef>
              <c:f>DCMP!$L$4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DCMP!$L$5:$L$14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0-4F74-BB11-551D6C462D83}"/>
            </c:ext>
          </c:extLst>
        </c:ser>
        <c:ser>
          <c:idx val="5"/>
          <c:order val="4"/>
          <c:tx>
            <c:strRef>
              <c:f>DCMP!$M$4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DCMP!$M$5:$M$14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0-4F74-BB11-551D6C462D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DCMP product @ expt end: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DCMP!$I$16</c:f>
              <c:strCache>
                <c:ptCount val="1"/>
                <c:pt idx="0">
                  <c:v>1-nitr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DCMP!$I$17:$I$26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4A-4723-ADC4-071713053D6A}"/>
            </c:ext>
          </c:extLst>
        </c:ser>
        <c:ser>
          <c:idx val="2"/>
          <c:order val="1"/>
          <c:tx>
            <c:strRef>
              <c:f>DCMP!$J$16</c:f>
              <c:strCache>
                <c:ptCount val="1"/>
                <c:pt idx="0">
                  <c:v>2-nitr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DCMP!$J$17:$J$26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4A-4723-ADC4-071713053D6A}"/>
            </c:ext>
          </c:extLst>
        </c:ser>
        <c:ser>
          <c:idx val="3"/>
          <c:order val="2"/>
          <c:tx>
            <c:strRef>
              <c:f>DCMP!$K$16</c:f>
              <c:strCache>
                <c:ptCount val="1"/>
                <c:pt idx="0">
                  <c:v>3-nitr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DCMP!$K$17:$K$26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4A-4723-ADC4-071713053D6A}"/>
            </c:ext>
          </c:extLst>
        </c:ser>
        <c:ser>
          <c:idx val="4"/>
          <c:order val="3"/>
          <c:tx>
            <c:strRef>
              <c:f>DCMP!$L$16</c:f>
              <c:strCache>
                <c:ptCount val="1"/>
                <c:pt idx="0">
                  <c:v>4-nitr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DCMP!$L$17:$L$26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4A-4723-ADC4-071713053D6A}"/>
            </c:ext>
          </c:extLst>
        </c:ser>
        <c:ser>
          <c:idx val="5"/>
          <c:order val="4"/>
          <c:tx>
            <c:strRef>
              <c:f>DCMP!$M$16</c:f>
              <c:strCache>
                <c:ptCount val="1"/>
                <c:pt idx="0">
                  <c:v>5-nitr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DCMP!$M$17:$M$26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4A-4723-ADC4-071713053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241641184"/>
        <c:axId val="1241656576"/>
      </c:barChart>
      <c:catAx>
        <c:axId val="124164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56576"/>
        <c:crosses val="autoZero"/>
        <c:auto val="1"/>
        <c:lblAlgn val="ctr"/>
        <c:lblOffset val="100"/>
        <c:noMultiLvlLbl val="0"/>
      </c:catAx>
      <c:valAx>
        <c:axId val="12416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164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decan-4-nitrate + OH branching ratios &gt;0.1%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2A5-465E-98A7-BA72AF505C8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2A5-465E-98A7-BA72AF505C8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2A5-465E-98A7-BA72AF505C8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2A5-465E-98A7-BA72AF505C8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2A5-465E-98A7-BA72AF505C8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2A5-465E-98A7-BA72AF505C8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2A5-465E-98A7-BA72AF505C8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2A5-465E-98A7-BA72AF505C8F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F2A5-465E-98A7-BA72AF505C8F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F2A5-465E-98A7-BA72AF505C8F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F2A5-465E-98A7-BA72AF505C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'BR4'!$A$3:$B$13</c:f>
              <c:strCache>
                <c:ptCount val="11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strCache>
            </c:strRef>
          </c:cat>
          <c:val>
            <c:numRef>
              <c:f>'BR4'!$I$3:$I$13</c:f>
              <c:numCache>
                <c:formatCode>0.0%</c:formatCode>
                <c:ptCount val="11"/>
                <c:pt idx="1">
                  <c:v>2.4070471545606483E-2</c:v>
                </c:pt>
                <c:pt idx="2">
                  <c:v>0.14220346877825574</c:v>
                </c:pt>
                <c:pt idx="3">
                  <c:v>3.8386716716442441E-2</c:v>
                </c:pt>
                <c:pt idx="4">
                  <c:v>1.4877935172753922E-2</c:v>
                </c:pt>
                <c:pt idx="5">
                  <c:v>3.8386716716442441E-2</c:v>
                </c:pt>
                <c:pt idx="6">
                  <c:v>0.19193358358221221</c:v>
                </c:pt>
                <c:pt idx="7">
                  <c:v>0.19193358358221221</c:v>
                </c:pt>
                <c:pt idx="8">
                  <c:v>0.19193358358221221</c:v>
                </c:pt>
                <c:pt idx="9">
                  <c:v>0.14220346877825574</c:v>
                </c:pt>
                <c:pt idx="10">
                  <c:v>2.4070471545606483E-2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F2A5-465E-98A7-BA72AF505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decan-5-nitrate OH reaction rates by site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'BR5'!$A$3:$A$13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'BR5'!$F$3:$F$13</c:f>
              <c:numCache>
                <c:formatCode>0.00E+00</c:formatCode>
                <c:ptCount val="11"/>
                <c:pt idx="0">
                  <c:v>1.757E-13</c:v>
                </c:pt>
                <c:pt idx="1">
                  <c:v>1.038E-12</c:v>
                </c:pt>
                <c:pt idx="2">
                  <c:v>1.401E-12</c:v>
                </c:pt>
                <c:pt idx="3">
                  <c:v>2.8020000000000001E-13</c:v>
                </c:pt>
                <c:pt idx="4">
                  <c:v>1.086E-13</c:v>
                </c:pt>
                <c:pt idx="6">
                  <c:v>2.8020000000000001E-13</c:v>
                </c:pt>
                <c:pt idx="7">
                  <c:v>1.401E-12</c:v>
                </c:pt>
                <c:pt idx="8">
                  <c:v>1.401E-12</c:v>
                </c:pt>
                <c:pt idx="9">
                  <c:v>1.038E-12</c:v>
                </c:pt>
                <c:pt idx="10">
                  <c:v>1.757E-13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1F-452E-BC50-AF05CD94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987440"/>
        <c:axId val="1054984112"/>
      </c:scatterChart>
      <c:valAx>
        <c:axId val="1054987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4112"/>
        <c:crosses val="autoZero"/>
        <c:crossBetween val="midCat"/>
      </c:valAx>
      <c:valAx>
        <c:axId val="105498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987440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4" Type="http://schemas.openxmlformats.org/officeDocument/2006/relationships/chart" Target="../charts/chart36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4" Type="http://schemas.openxmlformats.org/officeDocument/2006/relationships/chart" Target="../charts/chart40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4" Type="http://schemas.openxmlformats.org/officeDocument/2006/relationships/chart" Target="../charts/chart44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7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4" Type="http://schemas.openxmlformats.org/officeDocument/2006/relationships/chart" Target="../charts/chart48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4" Type="http://schemas.openxmlformats.org/officeDocument/2006/relationships/chart" Target="../charts/chart5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5.xml"/><Relationship Id="rId2" Type="http://schemas.openxmlformats.org/officeDocument/2006/relationships/chart" Target="../charts/chart54.xml"/><Relationship Id="rId1" Type="http://schemas.openxmlformats.org/officeDocument/2006/relationships/chart" Target="../charts/chart53.xml"/><Relationship Id="rId4" Type="http://schemas.openxmlformats.org/officeDocument/2006/relationships/chart" Target="../charts/chart56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9.xml"/><Relationship Id="rId2" Type="http://schemas.openxmlformats.org/officeDocument/2006/relationships/chart" Target="../charts/chart58.xml"/><Relationship Id="rId1" Type="http://schemas.openxmlformats.org/officeDocument/2006/relationships/chart" Target="../charts/chart57.xml"/><Relationship Id="rId4" Type="http://schemas.openxmlformats.org/officeDocument/2006/relationships/chart" Target="../charts/chart6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3.xml"/><Relationship Id="rId2" Type="http://schemas.openxmlformats.org/officeDocument/2006/relationships/chart" Target="../charts/chart62.xml"/><Relationship Id="rId1" Type="http://schemas.openxmlformats.org/officeDocument/2006/relationships/chart" Target="../charts/chart61.xml"/><Relationship Id="rId4" Type="http://schemas.openxmlformats.org/officeDocument/2006/relationships/chart" Target="../charts/chart64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7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4" Type="http://schemas.openxmlformats.org/officeDocument/2006/relationships/chart" Target="../charts/chart68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1.xml"/><Relationship Id="rId2" Type="http://schemas.openxmlformats.org/officeDocument/2006/relationships/chart" Target="../charts/chart70.xml"/><Relationship Id="rId1" Type="http://schemas.openxmlformats.org/officeDocument/2006/relationships/chart" Target="../charts/chart69.xml"/><Relationship Id="rId4" Type="http://schemas.openxmlformats.org/officeDocument/2006/relationships/chart" Target="../charts/chart7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395287</xdr:colOff>
      <xdr:row>1</xdr:row>
      <xdr:rowOff>100012</xdr:rowOff>
    </xdr:from>
    <xdr:to>
      <xdr:col>17</xdr:col>
      <xdr:colOff>90487</xdr:colOff>
      <xdr:row>15</xdr:row>
      <xdr:rowOff>176212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361950</xdr:colOff>
      <xdr:row>15</xdr:row>
      <xdr:rowOff>123825</xdr:rowOff>
    </xdr:from>
    <xdr:to>
      <xdr:col>6</xdr:col>
      <xdr:colOff>261938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171450</xdr:colOff>
      <xdr:row>1</xdr:row>
      <xdr:rowOff>152400</xdr:rowOff>
    </xdr:from>
    <xdr:to>
      <xdr:col>12</xdr:col>
      <xdr:colOff>397458</xdr:colOff>
      <xdr:row>19</xdr:row>
      <xdr:rowOff>135393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209550</xdr:colOff>
      <xdr:row>22</xdr:row>
      <xdr:rowOff>19050</xdr:rowOff>
    </xdr:from>
    <xdr:to>
      <xdr:col>12</xdr:col>
      <xdr:colOff>435558</xdr:colOff>
      <xdr:row>40</xdr:row>
      <xdr:rowOff>2043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42</xdr:row>
      <xdr:rowOff>0</xdr:rowOff>
    </xdr:from>
    <xdr:to>
      <xdr:col>13</xdr:col>
      <xdr:colOff>226008</xdr:colOff>
      <xdr:row>59</xdr:row>
      <xdr:rowOff>173493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2</xdr:row>
      <xdr:rowOff>0</xdr:rowOff>
    </xdr:from>
    <xdr:to>
      <xdr:col>19</xdr:col>
      <xdr:colOff>226008</xdr:colOff>
      <xdr:row>19</xdr:row>
      <xdr:rowOff>173493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26</xdr:col>
      <xdr:colOff>584200</xdr:colOff>
      <xdr:row>21</xdr:row>
      <xdr:rowOff>139700</xdr:rowOff>
    </xdr:from>
    <xdr:to>
      <xdr:col>33</xdr:col>
      <xdr:colOff>200608</xdr:colOff>
      <xdr:row>39</xdr:row>
      <xdr:rowOff>122693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33</xdr:col>
      <xdr:colOff>412750</xdr:colOff>
      <xdr:row>21</xdr:row>
      <xdr:rowOff>177800</xdr:rowOff>
    </xdr:from>
    <xdr:to>
      <xdr:col>40</xdr:col>
      <xdr:colOff>29158</xdr:colOff>
      <xdr:row>39</xdr:row>
      <xdr:rowOff>160793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12700</xdr:rowOff>
    </xdr:from>
    <xdr:to>
      <xdr:col>23</xdr:col>
      <xdr:colOff>609600</xdr:colOff>
      <xdr:row>29</xdr:row>
      <xdr:rowOff>186193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0.09662</cdr:x>
      <cdr:y>0.14889</cdr:y>
    </cdr:from>
    <cdr:to>
      <cdr:x>0.27697</cdr:x>
      <cdr:y>0.22705</cdr:y>
    </cdr:to>
    <cdr:sp macro="" textlink="">
      <cdr:nvSpPr>
        <cdr:cNvPr id="2" name="TextBox 7"/>
        <cdr:cNvSpPr txBox="1"/>
      </cdr:nvSpPr>
      <cdr:spPr>
        <a:xfrm xmlns:a="http://schemas.openxmlformats.org/drawingml/2006/main">
          <a:off x="762000" y="508000"/>
          <a:ext cx="1422400" cy="266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/>
            <a:t>gas</a:t>
          </a:r>
        </a:p>
      </cdr:txBody>
    </cdr:sp>
  </cdr:relSizeAnchor>
  <cdr:relSizeAnchor xmlns:cdr="http://schemas.openxmlformats.org/drawingml/2006/chartDrawing">
    <cdr:from>
      <cdr:x>0.35427</cdr:x>
      <cdr:y>0.14516</cdr:y>
    </cdr:from>
    <cdr:to>
      <cdr:x>0.53462</cdr:x>
      <cdr:y>0.22333</cdr:y>
    </cdr:to>
    <cdr:sp macro="" textlink="">
      <cdr:nvSpPr>
        <cdr:cNvPr id="3" name="TextBox 7"/>
        <cdr:cNvSpPr txBox="1"/>
      </cdr:nvSpPr>
      <cdr:spPr>
        <a:xfrm xmlns:a="http://schemas.openxmlformats.org/drawingml/2006/main">
          <a:off x="2794000" y="495300"/>
          <a:ext cx="1422400" cy="266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/>
            <a:t>particle</a:t>
          </a:r>
        </a:p>
      </cdr:txBody>
    </cdr:sp>
  </cdr:relSizeAnchor>
  <cdr:relSizeAnchor xmlns:cdr="http://schemas.openxmlformats.org/drawingml/2006/chartDrawing">
    <cdr:from>
      <cdr:x>0.56683</cdr:x>
      <cdr:y>0.14144</cdr:y>
    </cdr:from>
    <cdr:to>
      <cdr:x>0.74718</cdr:x>
      <cdr:y>0.21961</cdr:y>
    </cdr:to>
    <cdr:sp macro="" textlink="">
      <cdr:nvSpPr>
        <cdr:cNvPr id="4" name="TextBox 7"/>
        <cdr:cNvSpPr txBox="1"/>
      </cdr:nvSpPr>
      <cdr:spPr>
        <a:xfrm xmlns:a="http://schemas.openxmlformats.org/drawingml/2006/main">
          <a:off x="4470400" y="482600"/>
          <a:ext cx="1422400" cy="266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/>
            <a:t>wall</a:t>
          </a:r>
        </a:p>
      </cdr:txBody>
    </cdr:sp>
  </cdr:relSizeAnchor>
  <cdr:relSizeAnchor xmlns:cdr="http://schemas.openxmlformats.org/drawingml/2006/chartDrawing">
    <cdr:from>
      <cdr:x>0.78905</cdr:x>
      <cdr:y>0.13772</cdr:y>
    </cdr:from>
    <cdr:to>
      <cdr:x>0.9694</cdr:x>
      <cdr:y>0.21589</cdr:y>
    </cdr:to>
    <cdr:sp macro="" textlink="">
      <cdr:nvSpPr>
        <cdr:cNvPr id="5" name="TextBox 7"/>
        <cdr:cNvSpPr txBox="1"/>
      </cdr:nvSpPr>
      <cdr:spPr>
        <a:xfrm xmlns:a="http://schemas.openxmlformats.org/drawingml/2006/main">
          <a:off x="6223000" y="469900"/>
          <a:ext cx="1422400" cy="266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/>
            <a:t>total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309562</xdr:colOff>
      <xdr:row>0</xdr:row>
      <xdr:rowOff>157162</xdr:rowOff>
    </xdr:from>
    <xdr:to>
      <xdr:col>25</xdr:col>
      <xdr:colOff>190500</xdr:colOff>
      <xdr:row>15</xdr:row>
      <xdr:rowOff>42862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295275</xdr:colOff>
      <xdr:row>15</xdr:row>
      <xdr:rowOff>123825</xdr:rowOff>
    </xdr:from>
    <xdr:to>
      <xdr:col>25</xdr:col>
      <xdr:colOff>190500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314325</xdr:colOff>
      <xdr:row>0</xdr:row>
      <xdr:rowOff>142875</xdr:rowOff>
    </xdr:from>
    <xdr:to>
      <xdr:col>19</xdr:col>
      <xdr:colOff>195263</xdr:colOff>
      <xdr:row>15</xdr:row>
      <xdr:rowOff>28575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266700</xdr:colOff>
      <xdr:row>15</xdr:row>
      <xdr:rowOff>133350</xdr:rowOff>
    </xdr:from>
    <xdr:to>
      <xdr:col>19</xdr:col>
      <xdr:colOff>161925</xdr:colOff>
      <xdr:row>30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309562</xdr:colOff>
      <xdr:row>0</xdr:row>
      <xdr:rowOff>157162</xdr:rowOff>
    </xdr:from>
    <xdr:to>
      <xdr:col>25</xdr:col>
      <xdr:colOff>190500</xdr:colOff>
      <xdr:row>15</xdr:row>
      <xdr:rowOff>42862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295275</xdr:colOff>
      <xdr:row>15</xdr:row>
      <xdr:rowOff>123825</xdr:rowOff>
    </xdr:from>
    <xdr:to>
      <xdr:col>25</xdr:col>
      <xdr:colOff>190500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314325</xdr:colOff>
      <xdr:row>0</xdr:row>
      <xdr:rowOff>142875</xdr:rowOff>
    </xdr:from>
    <xdr:to>
      <xdr:col>19</xdr:col>
      <xdr:colOff>195263</xdr:colOff>
      <xdr:row>15</xdr:row>
      <xdr:rowOff>28575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266700</xdr:colOff>
      <xdr:row>15</xdr:row>
      <xdr:rowOff>133350</xdr:rowOff>
    </xdr:from>
    <xdr:to>
      <xdr:col>19</xdr:col>
      <xdr:colOff>161925</xdr:colOff>
      <xdr:row>30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100012</xdr:colOff>
      <xdr:row>1</xdr:row>
      <xdr:rowOff>42862</xdr:rowOff>
    </xdr:from>
    <xdr:to>
      <xdr:col>16</xdr:col>
      <xdr:colOff>404812</xdr:colOff>
      <xdr:row>15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595312</xdr:colOff>
      <xdr:row>14</xdr:row>
      <xdr:rowOff>138112</xdr:rowOff>
    </xdr:from>
    <xdr:to>
      <xdr:col>7</xdr:col>
      <xdr:colOff>495300</xdr:colOff>
      <xdr:row>29</xdr:row>
      <xdr:rowOff>23812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328612</xdr:colOff>
      <xdr:row>0</xdr:row>
      <xdr:rowOff>119062</xdr:rowOff>
    </xdr:from>
    <xdr:to>
      <xdr:col>25</xdr:col>
      <xdr:colOff>209550</xdr:colOff>
      <xdr:row>15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304800</xdr:colOff>
      <xdr:row>15</xdr:row>
      <xdr:rowOff>123825</xdr:rowOff>
    </xdr:from>
    <xdr:to>
      <xdr:col>25</xdr:col>
      <xdr:colOff>200025</xdr:colOff>
      <xdr:row>30</xdr:row>
      <xdr:rowOff>9525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85725</xdr:colOff>
      <xdr:row>1</xdr:row>
      <xdr:rowOff>85725</xdr:rowOff>
    </xdr:from>
    <xdr:to>
      <xdr:col>18</xdr:col>
      <xdr:colOff>576263</xdr:colOff>
      <xdr:row>15</xdr:row>
      <xdr:rowOff>161925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133350</xdr:colOff>
      <xdr:row>16</xdr:row>
      <xdr:rowOff>0</xdr:rowOff>
    </xdr:from>
    <xdr:to>
      <xdr:col>19</xdr:col>
      <xdr:colOff>28575</xdr:colOff>
      <xdr:row>30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109537</xdr:colOff>
      <xdr:row>14</xdr:row>
      <xdr:rowOff>80962</xdr:rowOff>
    </xdr:from>
    <xdr:to>
      <xdr:col>14</xdr:col>
      <xdr:colOff>414337</xdr:colOff>
      <xdr:row>30</xdr:row>
      <xdr:rowOff>157162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15</xdr:row>
      <xdr:rowOff>0</xdr:rowOff>
    </xdr:from>
    <xdr:to>
      <xdr:col>6</xdr:col>
      <xdr:colOff>509588</xdr:colOff>
      <xdr:row>29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271462</xdr:colOff>
      <xdr:row>14</xdr:row>
      <xdr:rowOff>157162</xdr:rowOff>
    </xdr:from>
    <xdr:to>
      <xdr:col>15</xdr:col>
      <xdr:colOff>576262</xdr:colOff>
      <xdr:row>29</xdr:row>
      <xdr:rowOff>42862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476250</xdr:colOff>
      <xdr:row>14</xdr:row>
      <xdr:rowOff>76200</xdr:rowOff>
    </xdr:from>
    <xdr:to>
      <xdr:col>5</xdr:col>
      <xdr:colOff>376238</xdr:colOff>
      <xdr:row>28</xdr:row>
      <xdr:rowOff>152400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</xdr:colOff>
      <xdr:row>14</xdr:row>
      <xdr:rowOff>52387</xdr:rowOff>
    </xdr:from>
    <xdr:to>
      <xdr:col>13</xdr:col>
      <xdr:colOff>328612</xdr:colOff>
      <xdr:row>28</xdr:row>
      <xdr:rowOff>128587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5</xdr:col>
      <xdr:colOff>509588</xdr:colOff>
      <xdr:row>28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13</xdr:row>
      <xdr:rowOff>71437</xdr:rowOff>
    </xdr:from>
    <xdr:to>
      <xdr:col>5</xdr:col>
      <xdr:colOff>342900</xdr:colOff>
      <xdr:row>27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453649</xdr:colOff>
      <xdr:row>14</xdr:row>
      <xdr:rowOff>66676</xdr:rowOff>
    </xdr:from>
    <xdr:to>
      <xdr:col>14</xdr:col>
      <xdr:colOff>1</xdr:colOff>
      <xdr:row>27</xdr:row>
      <xdr:rowOff>75566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11249" y="2733676"/>
          <a:ext cx="4423152" cy="248539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0</xdr:row>
      <xdr:rowOff>152400</xdr:rowOff>
    </xdr:from>
    <xdr:to>
      <xdr:col>15</xdr:col>
      <xdr:colOff>245058</xdr:colOff>
      <xdr:row>18</xdr:row>
      <xdr:rowOff>135393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20</xdr:row>
      <xdr:rowOff>0</xdr:rowOff>
    </xdr:from>
    <xdr:to>
      <xdr:col>15</xdr:col>
      <xdr:colOff>226008</xdr:colOff>
      <xdr:row>37</xdr:row>
      <xdr:rowOff>173493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1</xdr:row>
      <xdr:rowOff>133350</xdr:rowOff>
    </xdr:from>
    <xdr:to>
      <xdr:col>14</xdr:col>
      <xdr:colOff>454608</xdr:colOff>
      <xdr:row>19</xdr:row>
      <xdr:rowOff>116343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342900</xdr:colOff>
      <xdr:row>19</xdr:row>
      <xdr:rowOff>180975</xdr:rowOff>
    </xdr:from>
    <xdr:to>
      <xdr:col>13</xdr:col>
      <xdr:colOff>568908</xdr:colOff>
      <xdr:row>37</xdr:row>
      <xdr:rowOff>163968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238125</xdr:colOff>
      <xdr:row>20</xdr:row>
      <xdr:rowOff>95250</xdr:rowOff>
    </xdr:from>
    <xdr:to>
      <xdr:col>12</xdr:col>
      <xdr:colOff>464133</xdr:colOff>
      <xdr:row>38</xdr:row>
      <xdr:rowOff>78243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238125</xdr:colOff>
      <xdr:row>0</xdr:row>
      <xdr:rowOff>95250</xdr:rowOff>
    </xdr:from>
    <xdr:to>
      <xdr:col>12</xdr:col>
      <xdr:colOff>464133</xdr:colOff>
      <xdr:row>18</xdr:row>
      <xdr:rowOff>78243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ec1nitr_1g_gaw_210405_ch2_wall_21040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dec5nitr_3g_gaw_210521_ch2_wall_2105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dec3nitr_1g_gaw_DHF_220406_ch2_W_N_22040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dec1nitr_1g_gaw_DHF_220406_ch2_W_N_220406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dec2nitr_1g_gaw_DHF_220406_ch2_W_N_220406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dec4nitr_1g_gaw_DHF_220406_ch2_W_N_22040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dec5nitr_1g_gaw_DHF_220406_ch2_W_N_22040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dec1nitr_2g_gaw_DHF_210805_ch2_W_N_210805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dec2nitr_2g_gaw_DHF_210805_ch2_W_N_21080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dec4nitr_3g_gaw_DHF_210720_ch2_W_N_210805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dec5nitr_3g_gaw_DHF_210720_ch2_W_N_2108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ec2nitr_1g_gaw_210405_ch2_wall_210405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dec3nitr_2g_gaw_DHF_220309a_ch2_W_N_220309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rive/Documents/GECKO/Ziemann/Decanols/decan1ol_2g_gaw_DHF_220309a_ch2_W_O_220309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rive/Documents/GECKO/Ziemann/Decanols/decan2ol_2g_gaw_DHF_220309a_ch2_W_O_220309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rive/Documents/GECKO/Ziemann/Decanols/decan3ol_2g_gaw_DHF_220309a_ch2_W_O_220309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rive/Documents/GECKO/Ziemann/Decanols/decan4ol_2g_gaw_DHF_220309a_ch2_W_O_220309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rive/Documents/GECKO/Ziemann/Decanols/decan5ol_2g_gaw_DHF_220309a_ch2_W_O_220309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rive/Documents/GECKO/Ziemann/Decanols/decan1ol_2g_gaw_DHF_210910_ch2_W_O_210910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dec1nitr_2g_gaw_DHF_220309a_ch2_W_N_220309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dec2nitr_2g_gaw_DHF_220309a_ch2_W_N_220309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dec4nitr_2g_gaw_DHF_220309a_ch2_W_N_22030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ec3nitr_1g_gaw_210405_ch2_wall_210405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dec5nitr_2g_gaw_DHF_220309a_ch2_W_N_22030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dec4nitr_1g_gaw_210405_ch2_wall_21040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dec5nitr_1g_gaw_210405_ch2_wall_21040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dec1nitr_3g_gaw_210521_ch2_wall_2105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dec2nitr_3g_gaw_210521_ch2_wall_21052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dec3nitr_3g_gaw_210521_ch2_wall_2105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dec4nitr_3g_gaw_210521_ch2_wall_2105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RO fates"/>
      <sheetName val="dictionary"/>
      <sheetName val="pathway analysis"/>
      <sheetName val="funct_vs_sit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D14">
            <v>0.80018295193880384</v>
          </cell>
        </row>
        <row r="15">
          <cell r="D15">
            <v>0.82843036721613805</v>
          </cell>
        </row>
        <row r="16">
          <cell r="D16">
            <v>0.96154021948834389</v>
          </cell>
        </row>
        <row r="17">
          <cell r="D17">
            <v>4.7255165511700732E-2</v>
          </cell>
        </row>
      </sheetData>
      <sheetData sheetId="7"/>
      <sheetData sheetId="8"/>
      <sheetData sheetId="9">
        <row r="4">
          <cell r="A4" t="str">
            <v>ISOM</v>
          </cell>
          <cell r="B4"/>
          <cell r="D4">
            <v>300258058992</v>
          </cell>
          <cell r="E4">
            <v>2908592884000</v>
          </cell>
          <cell r="F4">
            <v>25658959991.600002</v>
          </cell>
          <cell r="G4">
            <v>3234509902983.6001</v>
          </cell>
          <cell r="I4">
            <v>305677478014.30005</v>
          </cell>
          <cell r="J4">
            <v>8195320636000</v>
          </cell>
          <cell r="K4">
            <v>655099156825</v>
          </cell>
          <cell r="L4">
            <v>9156097270839.3008</v>
          </cell>
        </row>
        <row r="5">
          <cell r="A5" t="str">
            <v>DINITR</v>
          </cell>
          <cell r="B5"/>
          <cell r="D5">
            <v>609361600000</v>
          </cell>
          <cell r="E5">
            <v>570797090000</v>
          </cell>
          <cell r="F5">
            <v>40423717000</v>
          </cell>
          <cell r="G5">
            <v>1220582407000</v>
          </cell>
          <cell r="I5">
            <v>720326200000</v>
          </cell>
          <cell r="J5">
            <v>1854685000000</v>
          </cell>
          <cell r="K5">
            <v>691382700000</v>
          </cell>
          <cell r="L5">
            <v>3266393900000</v>
          </cell>
        </row>
        <row r="6">
          <cell r="A6" t="str">
            <v>HYDROXY-CARBONYL</v>
          </cell>
          <cell r="B6"/>
          <cell r="D6">
            <v>127491000000</v>
          </cell>
          <cell r="E6">
            <v>16612100000</v>
          </cell>
          <cell r="F6">
            <v>8154160000</v>
          </cell>
          <cell r="G6">
            <v>152257260000</v>
          </cell>
          <cell r="I6">
            <v>118143000000</v>
          </cell>
          <cell r="J6">
            <v>42316200000</v>
          </cell>
          <cell r="K6">
            <v>51695600000</v>
          </cell>
          <cell r="L6">
            <v>212154800000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2557.35</v>
          </cell>
          <cell r="E8">
            <v>2.18364</v>
          </cell>
          <cell r="F8">
            <v>11.954499999999999</v>
          </cell>
          <cell r="G8">
            <v>2571.4881399999999</v>
          </cell>
          <cell r="I8">
            <v>993628</v>
          </cell>
          <cell r="J8">
            <v>2278.63</v>
          </cell>
          <cell r="K8">
            <v>5267.57</v>
          </cell>
          <cell r="L8">
            <v>1001174.2</v>
          </cell>
        </row>
        <row r="9">
          <cell r="A9" t="str">
            <v>DECOMP</v>
          </cell>
          <cell r="B9"/>
          <cell r="D9">
            <v>0</v>
          </cell>
          <cell r="E9">
            <v>0</v>
          </cell>
          <cell r="F9">
            <v>0</v>
          </cell>
          <cell r="G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3">
          <cell r="B13" t="str">
            <v>site</v>
          </cell>
          <cell r="G13" t="str">
            <v>total</v>
          </cell>
          <cell r="O13" t="str">
            <v>TYPE</v>
          </cell>
        </row>
        <row r="14">
          <cell r="B14">
            <v>1</v>
          </cell>
          <cell r="G14">
            <v>2571.4881399999999</v>
          </cell>
          <cell r="O14" t="str">
            <v>C</v>
          </cell>
        </row>
        <row r="15">
          <cell r="B15">
            <v>2</v>
          </cell>
          <cell r="G15">
            <v>34040950000</v>
          </cell>
          <cell r="O15" t="str">
            <v>NN</v>
          </cell>
        </row>
        <row r="16">
          <cell r="B16">
            <v>2</v>
          </cell>
          <cell r="G16">
            <v>81754545000</v>
          </cell>
          <cell r="O16" t="str">
            <v>HCN</v>
          </cell>
        </row>
        <row r="17">
          <cell r="B17">
            <v>2</v>
          </cell>
          <cell r="G17">
            <v>13671077000</v>
          </cell>
          <cell r="O17" t="str">
            <v>HNN</v>
          </cell>
        </row>
        <row r="18">
          <cell r="B18">
            <v>2</v>
          </cell>
          <cell r="G18">
            <v>534165831.89999998</v>
          </cell>
          <cell r="O18" t="str">
            <v>HHNN</v>
          </cell>
        </row>
        <row r="19">
          <cell r="B19">
            <v>3</v>
          </cell>
          <cell r="G19">
            <v>172014890000</v>
          </cell>
          <cell r="O19" t="str">
            <v>NN</v>
          </cell>
        </row>
        <row r="20">
          <cell r="B20">
            <v>3</v>
          </cell>
          <cell r="G20">
            <v>410088060000</v>
          </cell>
          <cell r="O20" t="str">
            <v>HCN</v>
          </cell>
        </row>
        <row r="21">
          <cell r="B21">
            <v>3</v>
          </cell>
          <cell r="G21">
            <v>68252980700</v>
          </cell>
          <cell r="O21" t="str">
            <v>HNN</v>
          </cell>
        </row>
        <row r="22">
          <cell r="B22">
            <v>3</v>
          </cell>
          <cell r="G22">
            <v>2670359050</v>
          </cell>
          <cell r="O22" t="str">
            <v>HHNN</v>
          </cell>
        </row>
        <row r="23">
          <cell r="B23">
            <v>4</v>
          </cell>
          <cell r="G23">
            <v>152257260000</v>
          </cell>
          <cell r="O23" t="str">
            <v>HC</v>
          </cell>
        </row>
        <row r="24">
          <cell r="B24">
            <v>4</v>
          </cell>
          <cell r="G24">
            <v>173357990000</v>
          </cell>
          <cell r="O24" t="str">
            <v>NN</v>
          </cell>
        </row>
        <row r="25">
          <cell r="B25">
            <v>4</v>
          </cell>
          <cell r="G25">
            <v>214953690000</v>
          </cell>
          <cell r="O25" t="str">
            <v>HCN</v>
          </cell>
        </row>
        <row r="26">
          <cell r="B26">
            <v>4</v>
          </cell>
          <cell r="G26">
            <v>34115453600</v>
          </cell>
          <cell r="O26" t="str">
            <v>HNN</v>
          </cell>
        </row>
        <row r="27">
          <cell r="B27">
            <v>5</v>
          </cell>
          <cell r="G27">
            <v>173357990000</v>
          </cell>
          <cell r="O27" t="str">
            <v>NN</v>
          </cell>
        </row>
        <row r="28">
          <cell r="B28">
            <v>5</v>
          </cell>
          <cell r="G28">
            <v>219828910000</v>
          </cell>
          <cell r="O28" t="str">
            <v>HCN</v>
          </cell>
        </row>
        <row r="29">
          <cell r="B29">
            <v>5</v>
          </cell>
          <cell r="G29">
            <v>215233390000</v>
          </cell>
          <cell r="O29" t="str">
            <v>HCN</v>
          </cell>
        </row>
        <row r="30">
          <cell r="B30">
            <v>5</v>
          </cell>
          <cell r="G30">
            <v>34113438300</v>
          </cell>
          <cell r="O30" t="str">
            <v>HNN</v>
          </cell>
        </row>
        <row r="31">
          <cell r="B31">
            <v>5</v>
          </cell>
          <cell r="G31">
            <v>34100536800</v>
          </cell>
          <cell r="O31" t="str">
            <v>HNN</v>
          </cell>
        </row>
        <row r="32">
          <cell r="B32">
            <v>6</v>
          </cell>
          <cell r="G32">
            <v>173357990000</v>
          </cell>
          <cell r="O32" t="str">
            <v>NN</v>
          </cell>
        </row>
        <row r="33">
          <cell r="B33">
            <v>6</v>
          </cell>
          <cell r="G33">
            <v>217119990000</v>
          </cell>
          <cell r="O33" t="str">
            <v>HCN</v>
          </cell>
        </row>
        <row r="34">
          <cell r="B34">
            <v>6</v>
          </cell>
          <cell r="G34">
            <v>215811350000</v>
          </cell>
          <cell r="O34" t="str">
            <v>HCN</v>
          </cell>
        </row>
        <row r="35">
          <cell r="B35">
            <v>6</v>
          </cell>
          <cell r="G35">
            <v>34109104500</v>
          </cell>
          <cell r="O35" t="str">
            <v>HNN</v>
          </cell>
        </row>
        <row r="36">
          <cell r="B36">
            <v>6</v>
          </cell>
          <cell r="G36">
            <v>34106281600</v>
          </cell>
          <cell r="O36" t="str">
            <v>HNN</v>
          </cell>
        </row>
        <row r="37">
          <cell r="B37">
            <v>7</v>
          </cell>
          <cell r="G37">
            <v>173357990000</v>
          </cell>
          <cell r="O37" t="str">
            <v>NN</v>
          </cell>
        </row>
        <row r="38">
          <cell r="B38">
            <v>7</v>
          </cell>
          <cell r="G38">
            <v>374173490000</v>
          </cell>
          <cell r="O38" t="str">
            <v>HCN</v>
          </cell>
        </row>
        <row r="39">
          <cell r="B39">
            <v>7</v>
          </cell>
          <cell r="G39">
            <v>38781428000</v>
          </cell>
          <cell r="O39" t="str">
            <v>HCN</v>
          </cell>
        </row>
        <row r="40">
          <cell r="B40">
            <v>7</v>
          </cell>
          <cell r="G40">
            <v>17323607200</v>
          </cell>
          <cell r="O40" t="str">
            <v>HHC</v>
          </cell>
        </row>
        <row r="41">
          <cell r="B41">
            <v>7</v>
          </cell>
          <cell r="G41">
            <v>62177899400</v>
          </cell>
          <cell r="O41" t="str">
            <v>HNN</v>
          </cell>
        </row>
        <row r="42">
          <cell r="B42">
            <v>7</v>
          </cell>
          <cell r="G42">
            <v>6049773020</v>
          </cell>
          <cell r="O42" t="str">
            <v>HNN</v>
          </cell>
        </row>
        <row r="43">
          <cell r="B43">
            <v>8</v>
          </cell>
          <cell r="G43">
            <v>172919760000</v>
          </cell>
          <cell r="O43" t="str">
            <v>NN</v>
          </cell>
        </row>
        <row r="44">
          <cell r="B44">
            <v>8</v>
          </cell>
          <cell r="G44">
            <v>410430340000</v>
          </cell>
          <cell r="O44" t="str">
            <v>HCN</v>
          </cell>
        </row>
        <row r="45">
          <cell r="B45">
            <v>8</v>
          </cell>
          <cell r="G45">
            <v>68238165000</v>
          </cell>
          <cell r="O45" t="str">
            <v>HNN</v>
          </cell>
        </row>
        <row r="46">
          <cell r="B46">
            <v>8</v>
          </cell>
          <cell r="G46">
            <v>21183706530</v>
          </cell>
          <cell r="O46" t="str">
            <v>HHCN</v>
          </cell>
        </row>
        <row r="47">
          <cell r="B47">
            <v>8</v>
          </cell>
          <cell r="G47">
            <v>2670259026</v>
          </cell>
          <cell r="O47" t="str">
            <v>HHNN</v>
          </cell>
        </row>
        <row r="48">
          <cell r="B48">
            <v>9</v>
          </cell>
          <cell r="G48">
            <v>126931270000</v>
          </cell>
          <cell r="O48" t="str">
            <v>NN</v>
          </cell>
        </row>
        <row r="49">
          <cell r="B49">
            <v>9</v>
          </cell>
          <cell r="G49">
            <v>303389120000</v>
          </cell>
          <cell r="O49" t="str">
            <v>HCN</v>
          </cell>
        </row>
        <row r="50">
          <cell r="B50">
            <v>9</v>
          </cell>
          <cell r="G50">
            <v>50571929900</v>
          </cell>
          <cell r="O50" t="str">
            <v>HNN</v>
          </cell>
        </row>
        <row r="51">
          <cell r="B51">
            <v>9</v>
          </cell>
          <cell r="G51">
            <v>1977742878</v>
          </cell>
          <cell r="O51" t="str">
            <v>HHNN</v>
          </cell>
        </row>
        <row r="52">
          <cell r="B52">
            <v>10</v>
          </cell>
          <cell r="G52">
            <v>21243577000</v>
          </cell>
          <cell r="O52" t="str">
            <v>NN</v>
          </cell>
        </row>
        <row r="53">
          <cell r="B53">
            <v>10</v>
          </cell>
          <cell r="G53">
            <v>8565956040</v>
          </cell>
          <cell r="O53" t="str">
            <v>HNN</v>
          </cell>
        </row>
        <row r="54">
          <cell r="B54">
            <v>10</v>
          </cell>
          <cell r="G54">
            <v>6463458867</v>
          </cell>
          <cell r="O54" t="str">
            <v>HHCN</v>
          </cell>
        </row>
        <row r="55">
          <cell r="B55">
            <v>10</v>
          </cell>
          <cell r="G55">
            <v>1023963899.7</v>
          </cell>
          <cell r="O55" t="str">
            <v>HHNN</v>
          </cell>
        </row>
        <row r="56">
          <cell r="B56">
            <v>10</v>
          </cell>
          <cell r="G56">
            <v>303854701</v>
          </cell>
          <cell r="O56" t="str">
            <v>HHHC</v>
          </cell>
        </row>
        <row r="57">
          <cell r="B57" t="str">
            <v>10.N</v>
          </cell>
          <cell r="G57">
            <v>46517672000</v>
          </cell>
          <cell r="O57"/>
        </row>
        <row r="58">
          <cell r="B58" t="str">
            <v>10.N</v>
          </cell>
          <cell r="G58">
            <v>188145390</v>
          </cell>
          <cell r="O58"/>
        </row>
        <row r="59">
          <cell r="B59" t="str">
            <v>10.N</v>
          </cell>
          <cell r="G59">
            <v>157626950</v>
          </cell>
          <cell r="O59"/>
        </row>
        <row r="60">
          <cell r="B60" t="str">
            <v>10.N</v>
          </cell>
          <cell r="G60">
            <v>25272548.199999999</v>
          </cell>
          <cell r="O60"/>
        </row>
      </sheetData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ionary"/>
      <sheetName val="pathway analysis"/>
    </sheetNames>
    <sheetDataSet>
      <sheetData sheetId="0"/>
      <sheetData sheetId="1"/>
      <sheetData sheetId="2"/>
      <sheetData sheetId="3"/>
      <sheetData sheetId="4"/>
      <sheetData sheetId="5">
        <row r="14">
          <cell r="D14">
            <v>0.53638898059498918</v>
          </cell>
        </row>
        <row r="15">
          <cell r="D15">
            <v>0.561151512452992</v>
          </cell>
        </row>
        <row r="16">
          <cell r="D16">
            <v>0.64360993829182611</v>
          </cell>
        </row>
        <row r="17">
          <cell r="D17">
            <v>6.1449784293416174E-2</v>
          </cell>
        </row>
      </sheetData>
      <sheetData sheetId="6"/>
      <sheetData sheetId="7">
        <row r="4">
          <cell r="A4" t="str">
            <v>ISOM</v>
          </cell>
          <cell r="B4"/>
          <cell r="D4">
            <v>254489516876</v>
          </cell>
          <cell r="E4">
            <v>1262878766140</v>
          </cell>
          <cell r="F4">
            <v>21124249691.200001</v>
          </cell>
          <cell r="G4">
            <v>1538492532707.2</v>
          </cell>
          <cell r="I4">
            <v>265121064643.20001</v>
          </cell>
          <cell r="J4">
            <v>4328668836000</v>
          </cell>
          <cell r="K4">
            <v>574458191910</v>
          </cell>
          <cell r="L4">
            <v>5168248092553.2002</v>
          </cell>
        </row>
        <row r="5">
          <cell r="A5" t="str">
            <v>DINITR</v>
          </cell>
          <cell r="B5"/>
          <cell r="D5">
            <v>579447200000</v>
          </cell>
          <cell r="E5">
            <v>259649980000</v>
          </cell>
          <cell r="F5">
            <v>37797790000</v>
          </cell>
          <cell r="G5">
            <v>876894970000</v>
          </cell>
          <cell r="I5">
            <v>852636400000</v>
          </cell>
          <cell r="J5">
            <v>1265021200000</v>
          </cell>
          <cell r="K5">
            <v>817343000000</v>
          </cell>
          <cell r="L5">
            <v>2935000600000</v>
          </cell>
        </row>
        <row r="6">
          <cell r="A6" t="str">
            <v>HYDROXY-CARBONYL</v>
          </cell>
          <cell r="B6"/>
          <cell r="D6">
            <v>759007000000</v>
          </cell>
          <cell r="E6">
            <v>19054520000</v>
          </cell>
          <cell r="F6">
            <v>41793100000</v>
          </cell>
          <cell r="G6">
            <v>819854620000</v>
          </cell>
          <cell r="I6">
            <v>1895320000000</v>
          </cell>
          <cell r="J6">
            <v>157541800000</v>
          </cell>
          <cell r="K6">
            <v>576708000000</v>
          </cell>
          <cell r="L6">
            <v>2629569800000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49148300000</v>
          </cell>
          <cell r="E8">
            <v>8087310</v>
          </cell>
          <cell r="F8">
            <v>103676000</v>
          </cell>
          <cell r="G8">
            <v>49260063310</v>
          </cell>
          <cell r="I8">
            <v>150860000000</v>
          </cell>
          <cell r="J8">
            <v>82200100</v>
          </cell>
          <cell r="K8">
            <v>322886000</v>
          </cell>
          <cell r="L8">
            <v>151265086100</v>
          </cell>
        </row>
        <row r="9">
          <cell r="A9" t="str">
            <v>DECOMP</v>
          </cell>
          <cell r="B9"/>
          <cell r="D9">
            <v>149028879000</v>
          </cell>
          <cell r="E9">
            <v>54323158.700000003</v>
          </cell>
          <cell r="F9">
            <v>303331002</v>
          </cell>
          <cell r="G9">
            <v>149386533160.70001</v>
          </cell>
          <cell r="I9">
            <v>438075078000</v>
          </cell>
          <cell r="J9">
            <v>419790768</v>
          </cell>
          <cell r="K9">
            <v>1149709530</v>
          </cell>
          <cell r="L9">
            <v>439644578298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categories"/>
      <sheetName val="pathway analysi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D13">
            <v>0.52408086666666664</v>
          </cell>
        </row>
        <row r="14">
          <cell r="D14">
            <v>0.63703168119205889</v>
          </cell>
        </row>
        <row r="15">
          <cell r="D15">
            <v>0.66963137285718322</v>
          </cell>
        </row>
        <row r="16">
          <cell r="D16">
            <v>0.7438271955736947</v>
          </cell>
        </row>
        <row r="17">
          <cell r="D17">
            <v>6.5207368754027828E-2</v>
          </cell>
        </row>
      </sheetData>
      <sheetData sheetId="7"/>
      <sheetData sheetId="8">
        <row r="4">
          <cell r="A4" t="str">
            <v>ISOMERISATION</v>
          </cell>
          <cell r="C4" t="str">
            <v>(gen 2+)</v>
          </cell>
          <cell r="D4"/>
          <cell r="E4">
            <v>16820656440524.988</v>
          </cell>
          <cell r="F4">
            <v>2117446034142</v>
          </cell>
          <cell r="G4">
            <v>649862636344.69971</v>
          </cell>
          <cell r="H4">
            <v>19587965111011.691</v>
          </cell>
          <cell r="J4">
            <v>10131584881115.131</v>
          </cell>
          <cell r="K4">
            <v>3821129128331.2002</v>
          </cell>
          <cell r="L4">
            <v>827255886828.95227</v>
          </cell>
          <cell r="M4">
            <v>14779969896275.283</v>
          </cell>
          <cell r="O4">
            <v>16820656440524.988</v>
          </cell>
          <cell r="P4">
            <v>2117446034142</v>
          </cell>
          <cell r="Q4">
            <v>649862636344.69971</v>
          </cell>
          <cell r="R4">
            <v>19587965111011.691</v>
          </cell>
          <cell r="T4">
            <v>10131584881115.131</v>
          </cell>
          <cell r="U4">
            <v>3821129128331.2002</v>
          </cell>
          <cell r="V4">
            <v>827255886828.95227</v>
          </cell>
          <cell r="W4">
            <v>14779969896275.283</v>
          </cell>
        </row>
        <row r="5">
          <cell r="A5" t="str">
            <v>DINITRATES</v>
          </cell>
          <cell r="C5"/>
          <cell r="D5"/>
          <cell r="E5">
            <v>533890700000</v>
          </cell>
          <cell r="F5">
            <v>386773240000</v>
          </cell>
          <cell r="G5">
            <v>38918208000</v>
          </cell>
          <cell r="H5">
            <v>959582148000</v>
          </cell>
          <cell r="J5">
            <v>925597700000</v>
          </cell>
          <cell r="K5">
            <v>1249996100000</v>
          </cell>
          <cell r="L5">
            <v>874702400000</v>
          </cell>
          <cell r="M5">
            <v>3050296200000</v>
          </cell>
          <cell r="O5">
            <v>533890700000</v>
          </cell>
          <cell r="P5">
            <v>386773240000</v>
          </cell>
          <cell r="Q5">
            <v>38918208000</v>
          </cell>
          <cell r="R5">
            <v>959582148000</v>
          </cell>
          <cell r="T5">
            <v>925597700000</v>
          </cell>
          <cell r="U5">
            <v>1249996100000</v>
          </cell>
          <cell r="V5">
            <v>874702400000</v>
          </cell>
          <cell r="W5">
            <v>3050296200000</v>
          </cell>
        </row>
        <row r="6">
          <cell r="A6" t="str">
            <v>HYDROXY CARBONYLS</v>
          </cell>
          <cell r="D6"/>
          <cell r="E6">
            <v>138808000000</v>
          </cell>
          <cell r="F6">
            <v>5629620000</v>
          </cell>
          <cell r="G6">
            <v>232988000</v>
          </cell>
          <cell r="H6">
            <v>144670608000</v>
          </cell>
          <cell r="J6">
            <v>234149000</v>
          </cell>
          <cell r="K6">
            <v>17697900</v>
          </cell>
          <cell r="L6">
            <v>388397</v>
          </cell>
          <cell r="M6">
            <v>252235297</v>
          </cell>
          <cell r="O6">
            <v>138808000000</v>
          </cell>
          <cell r="P6">
            <v>5629620000</v>
          </cell>
          <cell r="Q6">
            <v>232988000</v>
          </cell>
          <cell r="R6">
            <v>144670608000</v>
          </cell>
          <cell r="T6">
            <v>234149000</v>
          </cell>
          <cell r="U6">
            <v>17697900</v>
          </cell>
          <cell r="V6">
            <v>388397</v>
          </cell>
          <cell r="W6">
            <v>252235297</v>
          </cell>
        </row>
        <row r="7">
          <cell r="A7" t="str">
            <v>CYCLIC HEMIACETALS</v>
          </cell>
          <cell r="C7"/>
          <cell r="D7"/>
          <cell r="E7">
            <v>0</v>
          </cell>
          <cell r="F7">
            <v>226622000000</v>
          </cell>
          <cell r="G7">
            <v>14360500000</v>
          </cell>
          <cell r="H7">
            <v>240982500000</v>
          </cell>
          <cell r="J7">
            <v>0</v>
          </cell>
          <cell r="K7">
            <v>68395500000</v>
          </cell>
          <cell r="L7">
            <v>1760260000</v>
          </cell>
          <cell r="M7">
            <v>70155760000</v>
          </cell>
          <cell r="O7">
            <v>0</v>
          </cell>
          <cell r="P7">
            <v>226622000000</v>
          </cell>
          <cell r="Q7">
            <v>14360500000</v>
          </cell>
          <cell r="R7">
            <v>240982500000</v>
          </cell>
          <cell r="T7">
            <v>0</v>
          </cell>
          <cell r="U7">
            <v>68395500000</v>
          </cell>
          <cell r="V7">
            <v>1760260000</v>
          </cell>
          <cell r="W7">
            <v>70155760000</v>
          </cell>
        </row>
        <row r="8">
          <cell r="A8" t="str">
            <v>CARBONYL NITRATES</v>
          </cell>
          <cell r="C8"/>
          <cell r="D8"/>
          <cell r="E8">
            <v>0</v>
          </cell>
          <cell r="F8">
            <v>0</v>
          </cell>
          <cell r="G8">
            <v>0</v>
          </cell>
          <cell r="H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CARBONYL</v>
          </cell>
          <cell r="C9"/>
          <cell r="D9"/>
          <cell r="E9">
            <v>51186200000</v>
          </cell>
          <cell r="F9">
            <v>13617500</v>
          </cell>
          <cell r="G9">
            <v>108098000</v>
          </cell>
          <cell r="H9">
            <v>51307915500</v>
          </cell>
          <cell r="J9">
            <v>147386000000</v>
          </cell>
          <cell r="K9">
            <v>73097600</v>
          </cell>
          <cell r="L9">
            <v>315442000</v>
          </cell>
          <cell r="M9">
            <v>147774539600</v>
          </cell>
          <cell r="O9">
            <v>51186200000</v>
          </cell>
          <cell r="P9">
            <v>13617500</v>
          </cell>
          <cell r="Q9">
            <v>108098000</v>
          </cell>
          <cell r="R9">
            <v>51307915500</v>
          </cell>
          <cell r="T9">
            <v>147386000000</v>
          </cell>
          <cell r="U9">
            <v>73097600</v>
          </cell>
          <cell r="V9">
            <v>315442000</v>
          </cell>
          <cell r="W9">
            <v>147774539600</v>
          </cell>
        </row>
        <row r="10">
          <cell r="A10" t="str">
            <v>DECOMPOSITION</v>
          </cell>
          <cell r="C10"/>
          <cell r="D10"/>
          <cell r="E10">
            <v>88492411300</v>
          </cell>
          <cell r="F10">
            <v>2153707398.2150002</v>
          </cell>
          <cell r="G10">
            <v>1036619267</v>
          </cell>
          <cell r="H10">
            <v>91682737965.214996</v>
          </cell>
          <cell r="J10">
            <v>251231377700</v>
          </cell>
          <cell r="K10">
            <v>4020603954</v>
          </cell>
          <cell r="L10">
            <v>2983518369.8000002</v>
          </cell>
          <cell r="M10">
            <v>258235500023.79999</v>
          </cell>
          <cell r="O10">
            <v>88492411300</v>
          </cell>
          <cell r="P10">
            <v>2153707398.2150002</v>
          </cell>
          <cell r="Q10">
            <v>1036619267</v>
          </cell>
          <cell r="R10">
            <v>91682737965.214996</v>
          </cell>
          <cell r="T10">
            <v>251231377700</v>
          </cell>
          <cell r="U10">
            <v>4020603954</v>
          </cell>
          <cell r="V10">
            <v>2983518369.8000002</v>
          </cell>
          <cell r="W10">
            <v>258235500023.79999</v>
          </cell>
        </row>
        <row r="11">
          <cell r="A11" t="str">
            <v>Higher_gen_C/10</v>
          </cell>
          <cell r="C11"/>
          <cell r="D11"/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</sheetData>
      <sheetData sheetId="9">
        <row r="4">
          <cell r="A4" t="str">
            <v>ISOM</v>
          </cell>
          <cell r="B4"/>
          <cell r="D4">
            <v>0</v>
          </cell>
          <cell r="E4">
            <v>0</v>
          </cell>
          <cell r="F4">
            <v>0</v>
          </cell>
          <cell r="G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</row>
        <row r="5">
          <cell r="A5" t="str">
            <v>CYCLIC HEMIACETALS</v>
          </cell>
          <cell r="B5"/>
          <cell r="D5">
            <v>0</v>
          </cell>
          <cell r="E5">
            <v>0</v>
          </cell>
          <cell r="F5">
            <v>0</v>
          </cell>
          <cell r="G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</row>
        <row r="6">
          <cell r="A6" t="str">
            <v>DINITR</v>
          </cell>
          <cell r="B6"/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A7" t="str">
            <v>HYDROXY-CARBONYL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NITRATE-CARBONYL</v>
          </cell>
          <cell r="B8"/>
          <cell r="D8">
            <v>0</v>
          </cell>
          <cell r="E8">
            <v>0</v>
          </cell>
          <cell r="F8">
            <v>0</v>
          </cell>
          <cell r="G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CARBONYL</v>
          </cell>
          <cell r="B9"/>
          <cell r="D9">
            <v>0</v>
          </cell>
          <cell r="E9">
            <v>0</v>
          </cell>
          <cell r="F9">
            <v>0</v>
          </cell>
          <cell r="G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A10" t="str">
            <v>DECOMP</v>
          </cell>
          <cell r="B10"/>
          <cell r="D10">
            <v>0</v>
          </cell>
          <cell r="E10">
            <v>0</v>
          </cell>
          <cell r="F10">
            <v>0</v>
          </cell>
          <cell r="G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</sheetData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categorie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D13">
            <v>0.60110270476190475</v>
          </cell>
        </row>
        <row r="14">
          <cell r="D14">
            <v>0.70650890940953293</v>
          </cell>
        </row>
        <row r="15">
          <cell r="D15">
            <v>0.72787699164034703</v>
          </cell>
        </row>
        <row r="16">
          <cell r="D16">
            <v>0.83967542399839701</v>
          </cell>
        </row>
        <row r="17">
          <cell r="D17">
            <v>4.6716346304669601E-2</v>
          </cell>
        </row>
      </sheetData>
      <sheetData sheetId="7"/>
      <sheetData sheetId="8">
        <row r="4">
          <cell r="A4" t="str">
            <v>ISOMERISATION</v>
          </cell>
          <cell r="C4" t="str">
            <v>(gen 2+)</v>
          </cell>
          <cell r="D4"/>
          <cell r="E4">
            <v>15186799483191</v>
          </cell>
          <cell r="F4">
            <v>3763629178208</v>
          </cell>
          <cell r="G4">
            <v>598238758491.9071</v>
          </cell>
          <cell r="H4">
            <v>19548667419890.906</v>
          </cell>
          <cell r="J4">
            <v>12316205815206.961</v>
          </cell>
          <cell r="K4">
            <v>4243529898896</v>
          </cell>
          <cell r="L4">
            <v>1485105465339.6252</v>
          </cell>
          <cell r="M4">
            <v>18044841179442.586</v>
          </cell>
          <cell r="O4">
            <v>15186799483191</v>
          </cell>
          <cell r="P4">
            <v>3763629178208</v>
          </cell>
          <cell r="Q4">
            <v>598238758491.9071</v>
          </cell>
          <cell r="R4">
            <v>19548667419890.906</v>
          </cell>
          <cell r="T4">
            <v>12316205815206.961</v>
          </cell>
          <cell r="U4">
            <v>4243529898896</v>
          </cell>
          <cell r="V4">
            <v>1485105465339.6252</v>
          </cell>
          <cell r="W4">
            <v>18044841179442.586</v>
          </cell>
        </row>
        <row r="5">
          <cell r="A5" t="str">
            <v>DINITRATES</v>
          </cell>
          <cell r="C5"/>
          <cell r="D5"/>
          <cell r="E5">
            <v>629841700000</v>
          </cell>
          <cell r="F5">
            <v>766282000000</v>
          </cell>
          <cell r="G5">
            <v>49419433000</v>
          </cell>
          <cell r="H5">
            <v>1445543133000</v>
          </cell>
          <cell r="J5">
            <v>1102663600000</v>
          </cell>
          <cell r="K5">
            <v>1666491800000</v>
          </cell>
          <cell r="L5">
            <v>1034852100000</v>
          </cell>
          <cell r="M5">
            <v>3804007500000</v>
          </cell>
          <cell r="O5">
            <v>629841700000</v>
          </cell>
          <cell r="P5">
            <v>766282000000</v>
          </cell>
          <cell r="Q5">
            <v>49419433000</v>
          </cell>
          <cell r="R5">
            <v>1445543133000</v>
          </cell>
          <cell r="T5">
            <v>1102663600000</v>
          </cell>
          <cell r="U5">
            <v>1666491800000</v>
          </cell>
          <cell r="V5">
            <v>1034852100000</v>
          </cell>
          <cell r="W5">
            <v>3804007500000</v>
          </cell>
        </row>
        <row r="6">
          <cell r="A6" t="str">
            <v>HYDROXY CARBONYLS</v>
          </cell>
          <cell r="D6"/>
          <cell r="E6">
            <v>18641100000</v>
          </cell>
          <cell r="F6">
            <v>3147240000</v>
          </cell>
          <cell r="G6">
            <v>31750900</v>
          </cell>
          <cell r="H6">
            <v>21820090900</v>
          </cell>
          <cell r="J6">
            <v>122259000</v>
          </cell>
          <cell r="K6">
            <v>25637600</v>
          </cell>
          <cell r="L6">
            <v>203067</v>
          </cell>
          <cell r="M6">
            <v>148099667</v>
          </cell>
          <cell r="O6">
            <v>18641100000</v>
          </cell>
          <cell r="P6">
            <v>3147240000</v>
          </cell>
          <cell r="Q6">
            <v>31750900</v>
          </cell>
          <cell r="R6">
            <v>21820090900</v>
          </cell>
          <cell r="T6">
            <v>122259000</v>
          </cell>
          <cell r="U6">
            <v>25637600</v>
          </cell>
          <cell r="V6">
            <v>203067</v>
          </cell>
          <cell r="W6">
            <v>148099667</v>
          </cell>
        </row>
        <row r="7">
          <cell r="A7" t="str">
            <v>CYCLIC HEMIACETALS</v>
          </cell>
          <cell r="C7"/>
          <cell r="D7"/>
          <cell r="E7">
            <v>0</v>
          </cell>
          <cell r="F7">
            <v>259387000000</v>
          </cell>
          <cell r="G7">
            <v>4720120000</v>
          </cell>
          <cell r="H7">
            <v>264107120000</v>
          </cell>
          <cell r="J7">
            <v>0</v>
          </cell>
          <cell r="K7">
            <v>53582600000</v>
          </cell>
          <cell r="L7">
            <v>462408000</v>
          </cell>
          <cell r="M7">
            <v>54045008000</v>
          </cell>
          <cell r="O7">
            <v>0</v>
          </cell>
          <cell r="P7">
            <v>259387000000</v>
          </cell>
          <cell r="Q7">
            <v>4720120000</v>
          </cell>
          <cell r="R7">
            <v>264107120000</v>
          </cell>
          <cell r="T7">
            <v>0</v>
          </cell>
          <cell r="U7">
            <v>53582600000</v>
          </cell>
          <cell r="V7">
            <v>462408000</v>
          </cell>
          <cell r="W7">
            <v>54045008000</v>
          </cell>
        </row>
        <row r="8">
          <cell r="A8" t="str">
            <v>CARBONYL NITRATES</v>
          </cell>
          <cell r="C8"/>
          <cell r="D8"/>
          <cell r="E8">
            <v>0</v>
          </cell>
          <cell r="F8">
            <v>0</v>
          </cell>
          <cell r="G8">
            <v>0</v>
          </cell>
          <cell r="H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CARBONYL</v>
          </cell>
          <cell r="C9"/>
          <cell r="D9"/>
          <cell r="E9">
            <v>53052.6</v>
          </cell>
          <cell r="F9">
            <v>3087834.99315</v>
          </cell>
          <cell r="G9">
            <v>103.54320000000001</v>
          </cell>
          <cell r="H9">
            <v>3140991.1363499998</v>
          </cell>
          <cell r="J9">
            <v>1525850.963</v>
          </cell>
          <cell r="K9">
            <v>21405.52</v>
          </cell>
          <cell r="L9">
            <v>8104.2251200000001</v>
          </cell>
          <cell r="M9">
            <v>1555360.7081200001</v>
          </cell>
          <cell r="O9">
            <v>53052.6</v>
          </cell>
          <cell r="P9">
            <v>3087834.99315</v>
          </cell>
          <cell r="Q9">
            <v>103.54320000000001</v>
          </cell>
          <cell r="R9">
            <v>3140991.1363499998</v>
          </cell>
          <cell r="T9">
            <v>1525850.963</v>
          </cell>
          <cell r="U9">
            <v>21405.52</v>
          </cell>
          <cell r="V9">
            <v>8104.2251200000001</v>
          </cell>
          <cell r="W9">
            <v>1555360.7081200001</v>
          </cell>
        </row>
        <row r="10">
          <cell r="A10" t="str">
            <v>DECOMPOSITION</v>
          </cell>
          <cell r="C10"/>
          <cell r="D10"/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A11" t="str">
            <v>Higher_gen_C/10</v>
          </cell>
          <cell r="C11"/>
          <cell r="D11"/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</sheetData>
      <sheetData sheetId="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categories"/>
      <sheetName val="Sheet1"/>
    </sheetNames>
    <sheetDataSet>
      <sheetData sheetId="0"/>
      <sheetData sheetId="1"/>
      <sheetData sheetId="2"/>
      <sheetData sheetId="3">
        <row r="4">
          <cell r="AE4">
            <v>0</v>
          </cell>
        </row>
      </sheetData>
      <sheetData sheetId="4">
        <row r="7">
          <cell r="A7" t="str">
            <v>TE0000</v>
          </cell>
        </row>
      </sheetData>
      <sheetData sheetId="5">
        <row r="7">
          <cell r="A7" t="str">
            <v>N00000</v>
          </cell>
        </row>
      </sheetData>
      <sheetData sheetId="6">
        <row r="13">
          <cell r="D13">
            <v>0.54416750952380954</v>
          </cell>
        </row>
        <row r="14">
          <cell r="D14">
            <v>0.6638047170710597</v>
          </cell>
        </row>
        <row r="15">
          <cell r="D15">
            <v>0.68860877531204967</v>
          </cell>
        </row>
        <row r="16">
          <cell r="D16">
            <v>0.77771384828096179</v>
          </cell>
        </row>
        <row r="17">
          <cell r="D17">
            <v>5.4640918176537011E-2</v>
          </cell>
        </row>
      </sheetData>
      <sheetData sheetId="7"/>
      <sheetData sheetId="8">
        <row r="4">
          <cell r="A4" t="str">
            <v>ISOMERISATION</v>
          </cell>
          <cell r="C4" t="str">
            <v>(gen 2+)</v>
          </cell>
          <cell r="D4"/>
          <cell r="E4">
            <v>159738714284.06</v>
          </cell>
          <cell r="F4">
            <v>2469774340237.1201</v>
          </cell>
          <cell r="G4">
            <v>13015531572.250189</v>
          </cell>
          <cell r="H4">
            <v>2642528586093.4302</v>
          </cell>
          <cell r="J4">
            <v>3781555037853.5098</v>
          </cell>
          <cell r="K4">
            <v>3755119340561.7998</v>
          </cell>
          <cell r="L4">
            <v>1026119499677.8176</v>
          </cell>
          <cell r="M4">
            <v>8562793878093.127</v>
          </cell>
          <cell r="O4">
            <v>159738714284.06</v>
          </cell>
          <cell r="P4">
            <v>2469774340237.1201</v>
          </cell>
          <cell r="Q4">
            <v>13015531572.250189</v>
          </cell>
          <cell r="R4">
            <v>2642528586093.4302</v>
          </cell>
          <cell r="T4">
            <v>3781555037853.5098</v>
          </cell>
          <cell r="U4">
            <v>3755119340561.7998</v>
          </cell>
          <cell r="V4">
            <v>1026119499677.8176</v>
          </cell>
          <cell r="W4">
            <v>8562793878093.127</v>
          </cell>
        </row>
        <row r="5">
          <cell r="A5" t="str">
            <v>DINITRATES</v>
          </cell>
          <cell r="C5"/>
          <cell r="D5"/>
          <cell r="E5">
            <v>561956200000</v>
          </cell>
          <cell r="F5">
            <v>480928120000</v>
          </cell>
          <cell r="G5">
            <v>41710692000</v>
          </cell>
          <cell r="H5">
            <v>1084595012000</v>
          </cell>
          <cell r="J5">
            <v>1021887700000</v>
          </cell>
          <cell r="K5">
            <v>1374345300000</v>
          </cell>
          <cell r="L5">
            <v>961930000000</v>
          </cell>
          <cell r="M5">
            <v>3358163000000</v>
          </cell>
          <cell r="O5">
            <v>561956200000</v>
          </cell>
          <cell r="P5">
            <v>480928120000</v>
          </cell>
          <cell r="Q5">
            <v>41710692000</v>
          </cell>
          <cell r="R5">
            <v>1084595012000</v>
          </cell>
          <cell r="T5">
            <v>1021887700000</v>
          </cell>
          <cell r="U5">
            <v>1374345300000</v>
          </cell>
          <cell r="V5">
            <v>961930000000</v>
          </cell>
          <cell r="W5">
            <v>3358163000000</v>
          </cell>
        </row>
        <row r="6">
          <cell r="A6" t="str">
            <v>HYDROXY CARBONYLS</v>
          </cell>
          <cell r="D6"/>
          <cell r="E6">
            <v>118839000000</v>
          </cell>
          <cell r="F6">
            <v>5692940000</v>
          </cell>
          <cell r="G6">
            <v>200001000</v>
          </cell>
          <cell r="H6">
            <v>124731941000</v>
          </cell>
          <cell r="J6">
            <v>213417000</v>
          </cell>
          <cell r="K6">
            <v>16064600</v>
          </cell>
          <cell r="L6">
            <v>354007</v>
          </cell>
          <cell r="M6">
            <v>229835607</v>
          </cell>
          <cell r="O6">
            <v>118839000000</v>
          </cell>
          <cell r="P6">
            <v>5692940000</v>
          </cell>
          <cell r="Q6">
            <v>200001000</v>
          </cell>
          <cell r="R6">
            <v>124731941000</v>
          </cell>
          <cell r="T6">
            <v>213417000</v>
          </cell>
          <cell r="U6">
            <v>16064600</v>
          </cell>
          <cell r="V6">
            <v>354007</v>
          </cell>
          <cell r="W6">
            <v>229835607</v>
          </cell>
        </row>
        <row r="7">
          <cell r="A7" t="str">
            <v>CYCLIC HEMIACETALS</v>
          </cell>
          <cell r="C7"/>
          <cell r="D7"/>
          <cell r="E7">
            <v>0</v>
          </cell>
          <cell r="F7">
            <v>246084000000</v>
          </cell>
          <cell r="G7">
            <v>13359200000</v>
          </cell>
          <cell r="H7">
            <v>259443200000</v>
          </cell>
          <cell r="J7">
            <v>0</v>
          </cell>
          <cell r="K7">
            <v>64772500000</v>
          </cell>
          <cell r="L7">
            <v>1542480000</v>
          </cell>
          <cell r="M7">
            <v>66314980000</v>
          </cell>
          <cell r="O7">
            <v>0</v>
          </cell>
          <cell r="P7">
            <v>246084000000</v>
          </cell>
          <cell r="Q7">
            <v>13359200000</v>
          </cell>
          <cell r="R7">
            <v>259443200000</v>
          </cell>
          <cell r="T7">
            <v>0</v>
          </cell>
          <cell r="U7">
            <v>64772500000</v>
          </cell>
          <cell r="V7">
            <v>1542480000</v>
          </cell>
          <cell r="W7">
            <v>66314980000</v>
          </cell>
        </row>
        <row r="8">
          <cell r="A8" t="str">
            <v>CARBONYL NITRATES</v>
          </cell>
          <cell r="C8"/>
          <cell r="D8"/>
          <cell r="E8">
            <v>0</v>
          </cell>
          <cell r="F8">
            <v>0</v>
          </cell>
          <cell r="G8">
            <v>0</v>
          </cell>
          <cell r="H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CARBONYL</v>
          </cell>
          <cell r="C9"/>
          <cell r="D9"/>
          <cell r="E9">
            <v>9641.68</v>
          </cell>
          <cell r="F9">
            <v>3.0297900000000002</v>
          </cell>
          <cell r="G9">
            <v>19.6661</v>
          </cell>
          <cell r="H9">
            <v>9664.3758900000012</v>
          </cell>
          <cell r="J9">
            <v>5195960</v>
          </cell>
          <cell r="K9">
            <v>2566.38</v>
          </cell>
          <cell r="L9">
            <v>11118.5</v>
          </cell>
          <cell r="M9">
            <v>5209644.88</v>
          </cell>
          <cell r="O9">
            <v>9641.68</v>
          </cell>
          <cell r="P9">
            <v>3.0297900000000002</v>
          </cell>
          <cell r="Q9">
            <v>19.6661</v>
          </cell>
          <cell r="R9">
            <v>9664.3758900000012</v>
          </cell>
          <cell r="T9">
            <v>5195960</v>
          </cell>
          <cell r="U9">
            <v>2566.38</v>
          </cell>
          <cell r="V9">
            <v>11118.5</v>
          </cell>
          <cell r="W9">
            <v>5209644.88</v>
          </cell>
        </row>
        <row r="10">
          <cell r="A10" t="str">
            <v>DECOMPOSITION</v>
          </cell>
          <cell r="C10"/>
          <cell r="D10"/>
          <cell r="E10">
            <v>45855256000</v>
          </cell>
          <cell r="F10">
            <v>393987650</v>
          </cell>
          <cell r="G10">
            <v>340056100</v>
          </cell>
          <cell r="H10">
            <v>46589299750</v>
          </cell>
          <cell r="J10">
            <v>125273455000</v>
          </cell>
          <cell r="K10">
            <v>1244830500</v>
          </cell>
          <cell r="L10">
            <v>2257794700</v>
          </cell>
          <cell r="M10">
            <v>128776080200</v>
          </cell>
          <cell r="O10">
            <v>45855256000</v>
          </cell>
          <cell r="P10">
            <v>393987650</v>
          </cell>
          <cell r="Q10">
            <v>340056100</v>
          </cell>
          <cell r="R10">
            <v>46589299750</v>
          </cell>
          <cell r="T10">
            <v>125273455000</v>
          </cell>
          <cell r="U10">
            <v>1244830500</v>
          </cell>
          <cell r="V10">
            <v>2257794700</v>
          </cell>
          <cell r="W10">
            <v>128776080200</v>
          </cell>
        </row>
        <row r="11">
          <cell r="A11" t="str">
            <v>Higher_gen_C/10</v>
          </cell>
          <cell r="C11"/>
          <cell r="D11"/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</sheetData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categorie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D13">
            <v>0.49170662857142855</v>
          </cell>
        </row>
        <row r="14">
          <cell r="D14">
            <v>0.64531049092069603</v>
          </cell>
        </row>
        <row r="15">
          <cell r="D15">
            <v>0.67559126995460161</v>
          </cell>
        </row>
        <row r="16">
          <cell r="D16">
            <v>0.74622423593081888</v>
          </cell>
        </row>
        <row r="17">
          <cell r="D17">
            <v>6.1940369211597478E-2</v>
          </cell>
        </row>
      </sheetData>
      <sheetData sheetId="7">
        <row r="8">
          <cell r="D8">
            <v>1</v>
          </cell>
        </row>
      </sheetData>
      <sheetData sheetId="8">
        <row r="4">
          <cell r="A4" t="str">
            <v>ISOMERISATION</v>
          </cell>
          <cell r="C4" t="str">
            <v>(gen 2+)</v>
          </cell>
          <cell r="D4"/>
          <cell r="E4">
            <v>12703882543394.6</v>
          </cell>
          <cell r="F4">
            <v>4746681542320</v>
          </cell>
          <cell r="G4">
            <v>724571213532.57495</v>
          </cell>
          <cell r="H4">
            <v>18175135299247.172</v>
          </cell>
          <cell r="J4">
            <v>13247613664671.4</v>
          </cell>
          <cell r="K4">
            <v>4464938727831</v>
          </cell>
          <cell r="L4">
            <v>1276804575483.6694</v>
          </cell>
          <cell r="M4">
            <v>18989356967986.07</v>
          </cell>
          <cell r="O4">
            <v>12703882543394.6</v>
          </cell>
          <cell r="P4">
            <v>4746681542320</v>
          </cell>
          <cell r="Q4">
            <v>724571213532.57495</v>
          </cell>
          <cell r="R4">
            <v>18175135299247.172</v>
          </cell>
          <cell r="T4">
            <v>13247613664671.4</v>
          </cell>
          <cell r="U4">
            <v>4464938727831</v>
          </cell>
          <cell r="V4">
            <v>1276804575483.6694</v>
          </cell>
          <cell r="W4">
            <v>18989356967986.07</v>
          </cell>
        </row>
        <row r="5">
          <cell r="A5" t="str">
            <v>DINITRATES</v>
          </cell>
          <cell r="C5"/>
          <cell r="D5"/>
          <cell r="E5">
            <v>749512000000</v>
          </cell>
          <cell r="F5">
            <v>1316235000000</v>
          </cell>
          <cell r="G5">
            <v>478220100000</v>
          </cell>
          <cell r="H5">
            <v>2543967100000</v>
          </cell>
          <cell r="J5">
            <v>866145400000</v>
          </cell>
          <cell r="K5">
            <v>1275655600000</v>
          </cell>
          <cell r="L5">
            <v>821275600000</v>
          </cell>
          <cell r="M5">
            <v>2963076600000</v>
          </cell>
          <cell r="O5">
            <v>749512000000</v>
          </cell>
          <cell r="P5">
            <v>1316235000000</v>
          </cell>
          <cell r="Q5">
            <v>478220100000</v>
          </cell>
          <cell r="R5">
            <v>2543967100000</v>
          </cell>
          <cell r="T5">
            <v>866145400000</v>
          </cell>
          <cell r="U5">
            <v>1275655600000</v>
          </cell>
          <cell r="V5">
            <v>821275600000</v>
          </cell>
          <cell r="W5">
            <v>2963076600000</v>
          </cell>
        </row>
        <row r="6">
          <cell r="A6" t="str">
            <v>HYDROXY CARBONYLS</v>
          </cell>
          <cell r="D6"/>
          <cell r="E6">
            <v>3767759000</v>
          </cell>
          <cell r="F6">
            <v>370276800</v>
          </cell>
          <cell r="G6">
            <v>6263551</v>
          </cell>
          <cell r="H6">
            <v>4144299351</v>
          </cell>
          <cell r="J6">
            <v>313525800</v>
          </cell>
          <cell r="K6">
            <v>25843020</v>
          </cell>
          <cell r="L6">
            <v>520075.7</v>
          </cell>
          <cell r="M6">
            <v>339888895.69999999</v>
          </cell>
          <cell r="O6">
            <v>3767759000</v>
          </cell>
          <cell r="P6">
            <v>370276800</v>
          </cell>
          <cell r="Q6">
            <v>6263551</v>
          </cell>
          <cell r="R6">
            <v>4144299351</v>
          </cell>
          <cell r="T6">
            <v>313525800</v>
          </cell>
          <cell r="U6">
            <v>25843020</v>
          </cell>
          <cell r="V6">
            <v>520075.7</v>
          </cell>
          <cell r="W6">
            <v>339888895.69999999</v>
          </cell>
        </row>
        <row r="7">
          <cell r="A7" t="str">
            <v>CYCLIC HEMIACETALS</v>
          </cell>
          <cell r="C7"/>
          <cell r="D7"/>
          <cell r="E7">
            <v>0</v>
          </cell>
          <cell r="F7">
            <v>910680000000</v>
          </cell>
          <cell r="G7">
            <v>29879870000</v>
          </cell>
          <cell r="H7">
            <v>940559870000</v>
          </cell>
          <cell r="J7">
            <v>0</v>
          </cell>
          <cell r="K7">
            <v>98986500000</v>
          </cell>
          <cell r="L7">
            <v>2584627000</v>
          </cell>
          <cell r="M7">
            <v>101571127000</v>
          </cell>
          <cell r="O7">
            <v>0</v>
          </cell>
          <cell r="P7">
            <v>910680000000</v>
          </cell>
          <cell r="Q7">
            <v>29879870000</v>
          </cell>
          <cell r="R7">
            <v>940559870000</v>
          </cell>
          <cell r="T7">
            <v>0</v>
          </cell>
          <cell r="U7">
            <v>98986500000</v>
          </cell>
          <cell r="V7">
            <v>2584627000</v>
          </cell>
          <cell r="W7">
            <v>101571127000</v>
          </cell>
        </row>
        <row r="8">
          <cell r="A8" t="str">
            <v>CARBONYL NITRATES</v>
          </cell>
          <cell r="C8"/>
          <cell r="D8"/>
          <cell r="E8">
            <v>0</v>
          </cell>
          <cell r="F8">
            <v>0</v>
          </cell>
          <cell r="G8">
            <v>0</v>
          </cell>
          <cell r="H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CARBONYL</v>
          </cell>
          <cell r="C9"/>
          <cell r="D9"/>
          <cell r="E9">
            <v>130074000000</v>
          </cell>
          <cell r="F9">
            <v>83889400</v>
          </cell>
          <cell r="G9">
            <v>278320000</v>
          </cell>
          <cell r="H9">
            <v>130436209400</v>
          </cell>
          <cell r="J9">
            <v>148853000000</v>
          </cell>
          <cell r="K9">
            <v>80512000</v>
          </cell>
          <cell r="L9">
            <v>318583000</v>
          </cell>
          <cell r="M9">
            <v>149252095000</v>
          </cell>
          <cell r="O9">
            <v>130074000000</v>
          </cell>
          <cell r="P9">
            <v>83889400</v>
          </cell>
          <cell r="Q9">
            <v>278320000</v>
          </cell>
          <cell r="R9">
            <v>130436209400</v>
          </cell>
          <cell r="T9">
            <v>148853000000</v>
          </cell>
          <cell r="U9">
            <v>80512000</v>
          </cell>
          <cell r="V9">
            <v>318583000</v>
          </cell>
          <cell r="W9">
            <v>149252095000</v>
          </cell>
        </row>
        <row r="10">
          <cell r="A10" t="str">
            <v>DECOMPOSITION</v>
          </cell>
          <cell r="C10"/>
          <cell r="D10"/>
          <cell r="E10">
            <v>212205419000</v>
          </cell>
          <cell r="F10">
            <v>19159792643</v>
          </cell>
          <cell r="G10">
            <v>7838284569</v>
          </cell>
          <cell r="H10">
            <v>239203496212</v>
          </cell>
          <cell r="J10">
            <v>260320625000</v>
          </cell>
          <cell r="K10">
            <v>3043670818</v>
          </cell>
          <cell r="L10">
            <v>1992739230</v>
          </cell>
          <cell r="M10">
            <v>265357035048</v>
          </cell>
          <cell r="O10">
            <v>212205419000</v>
          </cell>
          <cell r="P10">
            <v>19159792643</v>
          </cell>
          <cell r="Q10">
            <v>7838284569</v>
          </cell>
          <cell r="R10">
            <v>239203496212</v>
          </cell>
          <cell r="T10">
            <v>260320625000</v>
          </cell>
          <cell r="U10">
            <v>3043670818</v>
          </cell>
          <cell r="V10">
            <v>1992739230</v>
          </cell>
          <cell r="W10">
            <v>265357035048</v>
          </cell>
        </row>
        <row r="11">
          <cell r="A11" t="str">
            <v>Higher_gen_C/10</v>
          </cell>
          <cell r="C11"/>
          <cell r="D11"/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</sheetData>
      <sheetData sheetId="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categories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3">
          <cell r="D13">
            <v>0.49380710476190476</v>
          </cell>
        </row>
        <row r="14">
          <cell r="D14">
            <v>0.54248896929865043</v>
          </cell>
        </row>
        <row r="15">
          <cell r="D15">
            <v>0.56674506591861329</v>
          </cell>
        </row>
        <row r="16">
          <cell r="D16">
            <v>0.62567772864820626</v>
          </cell>
        </row>
        <row r="17">
          <cell r="D17">
            <v>6.178813439694323E-2</v>
          </cell>
        </row>
      </sheetData>
      <sheetData sheetId="7" refreshError="1"/>
      <sheetData sheetId="8">
        <row r="4">
          <cell r="A4" t="str">
            <v>ISOMERISATION</v>
          </cell>
          <cell r="C4" t="str">
            <v>(gen 2+)</v>
          </cell>
          <cell r="E4">
            <v>1670649913047.8</v>
          </cell>
          <cell r="F4">
            <v>3725376243130</v>
          </cell>
          <cell r="G4">
            <v>414945407452.92798</v>
          </cell>
          <cell r="H4">
            <v>5810971563630.7275</v>
          </cell>
          <cell r="J4">
            <v>3167141552451.3701</v>
          </cell>
          <cell r="K4">
            <v>3294976966140</v>
          </cell>
          <cell r="L4">
            <v>929940820984.24634</v>
          </cell>
          <cell r="M4">
            <v>7392059339575.6172</v>
          </cell>
          <cell r="O4">
            <v>1670649913047.8</v>
          </cell>
          <cell r="P4">
            <v>3725376243130</v>
          </cell>
          <cell r="Q4">
            <v>414945407452.92798</v>
          </cell>
          <cell r="R4">
            <v>5810971563630.7275</v>
          </cell>
          <cell r="T4">
            <v>3167141552451.3701</v>
          </cell>
          <cell r="U4">
            <v>3294976966140</v>
          </cell>
          <cell r="V4">
            <v>929940820984.24634</v>
          </cell>
          <cell r="W4">
            <v>7392059339575.6172</v>
          </cell>
        </row>
        <row r="5">
          <cell r="A5" t="str">
            <v>DINITRATES</v>
          </cell>
          <cell r="E5">
            <v>788989180000</v>
          </cell>
          <cell r="F5">
            <v>1172373001334.04</v>
          </cell>
          <cell r="G5">
            <v>500795113818.29999</v>
          </cell>
          <cell r="H5">
            <v>2462157295152.3398</v>
          </cell>
          <cell r="J5">
            <v>929807800000</v>
          </cell>
          <cell r="K5">
            <v>1080259708961.65</v>
          </cell>
          <cell r="L5">
            <v>870749548148</v>
          </cell>
          <cell r="M5">
            <v>2880817057109.6499</v>
          </cell>
          <cell r="O5">
            <v>788989180000</v>
          </cell>
          <cell r="P5">
            <v>1172373001334.04</v>
          </cell>
          <cell r="Q5">
            <v>500795113818.29999</v>
          </cell>
          <cell r="R5">
            <v>2462157295152.3398</v>
          </cell>
          <cell r="T5">
            <v>929807800000</v>
          </cell>
          <cell r="U5">
            <v>1080259708961.65</v>
          </cell>
          <cell r="V5">
            <v>870749548148</v>
          </cell>
          <cell r="W5">
            <v>2880817057109.6499</v>
          </cell>
        </row>
        <row r="6">
          <cell r="A6" t="str">
            <v>HYDROXY CARBONYLS</v>
          </cell>
          <cell r="E6">
            <v>23755380000</v>
          </cell>
          <cell r="F6">
            <v>29698462000</v>
          </cell>
          <cell r="G6">
            <v>12549591430</v>
          </cell>
          <cell r="H6">
            <v>66003433430</v>
          </cell>
          <cell r="J6">
            <v>23386123000</v>
          </cell>
          <cell r="K6">
            <v>27079290300</v>
          </cell>
          <cell r="L6">
            <v>21809285095</v>
          </cell>
          <cell r="M6">
            <v>72274698395</v>
          </cell>
          <cell r="O6">
            <v>23755380000</v>
          </cell>
          <cell r="P6">
            <v>29698462000</v>
          </cell>
          <cell r="Q6">
            <v>12549591430</v>
          </cell>
          <cell r="R6">
            <v>66003433430</v>
          </cell>
          <cell r="T6">
            <v>23386123000</v>
          </cell>
          <cell r="U6">
            <v>27079290300</v>
          </cell>
          <cell r="V6">
            <v>21809285095</v>
          </cell>
          <cell r="W6">
            <v>72274698395</v>
          </cell>
        </row>
        <row r="7">
          <cell r="A7" t="str">
            <v>CYCLIC HEMIACETALS</v>
          </cell>
          <cell r="E7">
            <v>256155000</v>
          </cell>
          <cell r="F7">
            <v>820089034000</v>
          </cell>
          <cell r="G7">
            <v>30680953000</v>
          </cell>
          <cell r="H7">
            <v>851026142000</v>
          </cell>
          <cell r="J7">
            <v>296181000</v>
          </cell>
          <cell r="K7">
            <v>89401574000</v>
          </cell>
          <cell r="L7">
            <v>2922607000</v>
          </cell>
          <cell r="M7">
            <v>92620362000</v>
          </cell>
          <cell r="O7">
            <v>256155000</v>
          </cell>
          <cell r="P7">
            <v>820089034000</v>
          </cell>
          <cell r="Q7">
            <v>30680953000</v>
          </cell>
          <cell r="R7">
            <v>851026142000</v>
          </cell>
          <cell r="T7">
            <v>296181000</v>
          </cell>
          <cell r="U7">
            <v>89401574000</v>
          </cell>
          <cell r="V7">
            <v>2922607000</v>
          </cell>
          <cell r="W7">
            <v>92620362000</v>
          </cell>
        </row>
        <row r="8">
          <cell r="A8" t="str">
            <v>CARBONYL NITRATES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CARBONYL</v>
          </cell>
          <cell r="E9">
            <v>130526000000</v>
          </cell>
          <cell r="F9">
            <v>71339400</v>
          </cell>
          <cell r="G9">
            <v>279284000</v>
          </cell>
          <cell r="H9">
            <v>130876623400</v>
          </cell>
          <cell r="J9">
            <v>149842000000</v>
          </cell>
          <cell r="K9">
            <v>64639900</v>
          </cell>
          <cell r="L9">
            <v>320699000</v>
          </cell>
          <cell r="M9">
            <v>150227338900</v>
          </cell>
          <cell r="O9">
            <v>130526000000</v>
          </cell>
          <cell r="P9">
            <v>71339400</v>
          </cell>
          <cell r="Q9">
            <v>279284000</v>
          </cell>
          <cell r="R9">
            <v>130876623400</v>
          </cell>
          <cell r="T9">
            <v>149842000000</v>
          </cell>
          <cell r="U9">
            <v>64639900</v>
          </cell>
          <cell r="V9">
            <v>320699000</v>
          </cell>
          <cell r="W9">
            <v>150227338900</v>
          </cell>
        </row>
        <row r="10">
          <cell r="A10" t="str">
            <v>DECOMPOSITION</v>
          </cell>
          <cell r="E10">
            <v>449357920000</v>
          </cell>
          <cell r="F10">
            <v>70318169.900000006</v>
          </cell>
          <cell r="G10">
            <v>228756841</v>
          </cell>
          <cell r="H10">
            <v>449656995010.90002</v>
          </cell>
          <cell r="J10">
            <v>515731972000</v>
          </cell>
          <cell r="K10">
            <v>49580672.899999999</v>
          </cell>
          <cell r="L10">
            <v>243919477</v>
          </cell>
          <cell r="M10">
            <v>516025472149.90002</v>
          </cell>
          <cell r="O10">
            <v>449357920000</v>
          </cell>
          <cell r="P10">
            <v>70318169.900000006</v>
          </cell>
          <cell r="Q10">
            <v>228756841</v>
          </cell>
          <cell r="R10">
            <v>449656995010.90002</v>
          </cell>
          <cell r="T10">
            <v>515731972000</v>
          </cell>
          <cell r="U10">
            <v>49580672.899999999</v>
          </cell>
          <cell r="V10">
            <v>243919477</v>
          </cell>
          <cell r="W10">
            <v>516025472149.90002</v>
          </cell>
        </row>
        <row r="11">
          <cell r="A11" t="str">
            <v>Higher_gen_C/10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</sheetData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ionary"/>
      <sheetName val="pathway analysis"/>
    </sheetNames>
    <sheetDataSet>
      <sheetData sheetId="0"/>
      <sheetData sheetId="1"/>
      <sheetData sheetId="2"/>
      <sheetData sheetId="3"/>
      <sheetData sheetId="4"/>
      <sheetData sheetId="5">
        <row r="13">
          <cell r="D13">
            <v>0.58425388571428571</v>
          </cell>
        </row>
        <row r="14">
          <cell r="D14">
            <v>0.68873508364506342</v>
          </cell>
        </row>
        <row r="15">
          <cell r="D15">
            <v>0.7123497484036112</v>
          </cell>
        </row>
        <row r="16">
          <cell r="D16">
            <v>0.84953697190440602</v>
          </cell>
        </row>
        <row r="17">
          <cell r="D17">
            <v>4.9830576496337917E-2</v>
          </cell>
        </row>
      </sheetData>
      <sheetData sheetId="6"/>
      <sheetData sheetId="7">
        <row r="4">
          <cell r="A4" t="str">
            <v>ISOM</v>
          </cell>
          <cell r="B4"/>
          <cell r="D4">
            <v>332530567287.15674</v>
          </cell>
          <cell r="E4">
            <v>3036104606943.8154</v>
          </cell>
          <cell r="F4">
            <v>28515930421.751022</v>
          </cell>
          <cell r="G4">
            <v>3397151104652.7202</v>
          </cell>
          <cell r="I4">
            <v>395638198838.2995</v>
          </cell>
          <cell r="J4">
            <v>8749578208615.2832</v>
          </cell>
          <cell r="K4">
            <v>1702737060050.5889</v>
          </cell>
          <cell r="L4">
            <v>10847953467504.18</v>
          </cell>
        </row>
        <row r="5">
          <cell r="A5" t="str">
            <v>CYCLIC HEMIACETALS</v>
          </cell>
          <cell r="B5"/>
          <cell r="D5">
            <v>17571534321.081688</v>
          </cell>
          <cell r="E5">
            <v>8305526084.9383926</v>
          </cell>
          <cell r="F5">
            <v>2419238535.7543983</v>
          </cell>
          <cell r="G5">
            <v>28296298941.774471</v>
          </cell>
          <cell r="I5">
            <v>183323810198.3335</v>
          </cell>
          <cell r="J5">
            <v>953142384577.17407</v>
          </cell>
          <cell r="K5">
            <v>137437323159.20435</v>
          </cell>
          <cell r="L5">
            <v>1273903517934.7148</v>
          </cell>
        </row>
        <row r="6">
          <cell r="A6" t="str">
            <v>DINITR</v>
          </cell>
          <cell r="B6"/>
          <cell r="D6">
            <v>558352292942</v>
          </cell>
          <cell r="E6">
            <v>462202775600</v>
          </cell>
          <cell r="F6">
            <v>35715340205</v>
          </cell>
          <cell r="G6">
            <v>1056270408747</v>
          </cell>
          <cell r="I6">
            <v>815128520613</v>
          </cell>
          <cell r="J6">
            <v>1701701923000</v>
          </cell>
          <cell r="K6">
            <v>777520039670</v>
          </cell>
          <cell r="L6">
            <v>3294350483283</v>
          </cell>
        </row>
        <row r="7">
          <cell r="A7" t="str">
            <v>HYDROXY-CARBONYL</v>
          </cell>
          <cell r="B7"/>
          <cell r="D7">
            <v>119936768095</v>
          </cell>
          <cell r="E7">
            <v>15012135218.799999</v>
          </cell>
          <cell r="F7">
            <v>7127612896.8000002</v>
          </cell>
          <cell r="G7">
            <v>142076516210.60001</v>
          </cell>
          <cell r="I7">
            <v>57812691900</v>
          </cell>
          <cell r="J7">
            <v>42975920080</v>
          </cell>
          <cell r="K7">
            <v>30059952310</v>
          </cell>
          <cell r="L7">
            <v>130848564290</v>
          </cell>
        </row>
        <row r="8">
          <cell r="A8" t="str">
            <v>NITRATE-CARBONYL</v>
          </cell>
          <cell r="B8"/>
          <cell r="D8">
            <v>165132100</v>
          </cell>
          <cell r="E8">
            <v>7474430</v>
          </cell>
          <cell r="F8">
            <v>6480440</v>
          </cell>
          <cell r="G8">
            <v>179086970</v>
          </cell>
          <cell r="I8">
            <v>807378000</v>
          </cell>
          <cell r="J8">
            <v>88809200</v>
          </cell>
          <cell r="K8">
            <v>245748600</v>
          </cell>
          <cell r="L8">
            <v>1141935800</v>
          </cell>
        </row>
        <row r="9">
          <cell r="A9" t="str">
            <v>CARBONYL</v>
          </cell>
          <cell r="B9"/>
          <cell r="D9">
            <v>1446.3697</v>
          </cell>
          <cell r="E9">
            <v>1.191181</v>
          </cell>
          <cell r="F9">
            <v>6.9340960000000003</v>
          </cell>
          <cell r="G9">
            <v>1454.4949769999998</v>
          </cell>
          <cell r="I9">
            <v>905850.3</v>
          </cell>
          <cell r="J9">
            <v>2387.4169999999999</v>
          </cell>
          <cell r="K9">
            <v>7130.4</v>
          </cell>
          <cell r="L9">
            <v>915368.11699999997</v>
          </cell>
        </row>
        <row r="10">
          <cell r="A10" t="str">
            <v>DECOMP</v>
          </cell>
          <cell r="B10"/>
          <cell r="D10">
            <v>118443745169.20216</v>
          </cell>
          <cell r="E10">
            <v>6697002788.4950104</v>
          </cell>
          <cell r="F10">
            <v>951873988.95458591</v>
          </cell>
          <cell r="G10">
            <v>126092621946.65204</v>
          </cell>
          <cell r="I10">
            <v>1439055206488.7559</v>
          </cell>
          <cell r="J10">
            <v>371818022120.58691</v>
          </cell>
          <cell r="K10">
            <v>168954861323.0867</v>
          </cell>
          <cell r="L10">
            <v>1979828089932.4265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ionary"/>
      <sheetName val="pathway analysis"/>
    </sheetNames>
    <sheetDataSet>
      <sheetData sheetId="0"/>
      <sheetData sheetId="1"/>
      <sheetData sheetId="2"/>
      <sheetData sheetId="3"/>
      <sheetData sheetId="4"/>
      <sheetData sheetId="5">
        <row r="13">
          <cell r="D13">
            <v>0.541469080952381</v>
          </cell>
        </row>
        <row r="14">
          <cell r="D14">
            <v>0.60415954280916417</v>
          </cell>
        </row>
        <row r="15">
          <cell r="D15">
            <v>0.62775130389433587</v>
          </cell>
        </row>
        <row r="16">
          <cell r="D16">
            <v>0.74220907826663352</v>
          </cell>
        </row>
        <row r="17">
          <cell r="D17">
            <v>5.4949609722142218E-2</v>
          </cell>
        </row>
      </sheetData>
      <sheetData sheetId="6"/>
      <sheetData sheetId="7">
        <row r="4">
          <cell r="A4" t="str">
            <v>ISOM</v>
          </cell>
          <cell r="B4"/>
          <cell r="D4">
            <v>361785218743.40515</v>
          </cell>
          <cell r="E4">
            <v>2258808130478.2231</v>
          </cell>
          <cell r="F4">
            <v>27209126458.408573</v>
          </cell>
          <cell r="G4">
            <v>2647802475680.0371</v>
          </cell>
          <cell r="I4">
            <v>945012592502.55798</v>
          </cell>
          <cell r="J4">
            <v>5571534000957.96</v>
          </cell>
          <cell r="K4">
            <v>1224521880726.6948</v>
          </cell>
          <cell r="L4">
            <v>7741068474187.2139</v>
          </cell>
        </row>
        <row r="5">
          <cell r="A5" t="str">
            <v>CYCLIC HEMIACETALS</v>
          </cell>
          <cell r="B5"/>
          <cell r="D5">
            <v>7894340554.8352013</v>
          </cell>
          <cell r="E5">
            <v>5287789888.014349</v>
          </cell>
          <cell r="F5">
            <v>1722974679.3072402</v>
          </cell>
          <cell r="G5">
            <v>14905105122.156799</v>
          </cell>
          <cell r="I5">
            <v>101822215422.48907</v>
          </cell>
          <cell r="J5">
            <v>674301255566.86572</v>
          </cell>
          <cell r="K5">
            <v>106729785943.64857</v>
          </cell>
          <cell r="L5">
            <v>882853256933.00342</v>
          </cell>
        </row>
        <row r="6">
          <cell r="A6" t="str">
            <v>DINITR</v>
          </cell>
          <cell r="B6"/>
          <cell r="D6">
            <v>542529454744</v>
          </cell>
          <cell r="E6">
            <v>368585270700</v>
          </cell>
          <cell r="F6">
            <v>33720022380.400002</v>
          </cell>
          <cell r="G6">
            <v>944834747824.40002</v>
          </cell>
          <cell r="I6">
            <v>828902250540</v>
          </cell>
          <cell r="J6">
            <v>1425320207000</v>
          </cell>
          <cell r="K6">
            <v>791337267600</v>
          </cell>
          <cell r="L6">
            <v>3045559725140</v>
          </cell>
        </row>
        <row r="7">
          <cell r="A7" t="str">
            <v>HYDROXY-CARBONYL</v>
          </cell>
          <cell r="B7"/>
          <cell r="D7">
            <v>245904327290</v>
          </cell>
          <cell r="E7">
            <v>8881371820.7000008</v>
          </cell>
          <cell r="F7">
            <v>13078211705.5</v>
          </cell>
          <cell r="G7">
            <v>267863910816.20001</v>
          </cell>
          <cell r="I7">
            <v>186941611100</v>
          </cell>
          <cell r="J7">
            <v>16767328050</v>
          </cell>
          <cell r="K7">
            <v>49698424900</v>
          </cell>
          <cell r="L7">
            <v>253407364050</v>
          </cell>
        </row>
        <row r="8">
          <cell r="A8" t="str">
            <v>NITRATE-CARBONYL</v>
          </cell>
          <cell r="B8"/>
          <cell r="D8">
            <v>604598009.24870896</v>
          </cell>
          <cell r="E8">
            <v>21955170.3740655</v>
          </cell>
          <cell r="F8">
            <v>23205530.205605097</v>
          </cell>
          <cell r="G8">
            <v>649758709.82837963</v>
          </cell>
          <cell r="I8">
            <v>3303903762.8099999</v>
          </cell>
          <cell r="J8">
            <v>297933563.63300002</v>
          </cell>
          <cell r="K8">
            <v>1005404775.3590001</v>
          </cell>
          <cell r="L8">
            <v>4607242101.802</v>
          </cell>
        </row>
        <row r="9">
          <cell r="A9" t="str">
            <v>CARBONYL</v>
          </cell>
          <cell r="B9"/>
          <cell r="D9">
            <v>6156.2</v>
          </cell>
          <cell r="E9">
            <v>1.4574100000000001</v>
          </cell>
          <cell r="F9">
            <v>12.4566</v>
          </cell>
          <cell r="G9">
            <v>6170.1140100000002</v>
          </cell>
          <cell r="I9">
            <v>4264290</v>
          </cell>
          <cell r="J9">
            <v>2507.1999999999998</v>
          </cell>
          <cell r="K9">
            <v>9124.81</v>
          </cell>
          <cell r="L9">
            <v>4275922.01</v>
          </cell>
        </row>
        <row r="10">
          <cell r="A10" t="str">
            <v>DECOMP</v>
          </cell>
          <cell r="B10"/>
          <cell r="D10">
            <v>164786674154.82904</v>
          </cell>
          <cell r="E10">
            <v>2975838149.5981393</v>
          </cell>
          <cell r="F10">
            <v>1111779700.9014955</v>
          </cell>
          <cell r="G10">
            <v>168874292005.32864</v>
          </cell>
          <cell r="I10">
            <v>1436318395388.9771</v>
          </cell>
          <cell r="J10">
            <v>315088511768.4483</v>
          </cell>
          <cell r="K10">
            <v>157098438766.26321</v>
          </cell>
          <cell r="L10">
            <v>1908505345923.6887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ionary"/>
      <sheetName val="pathway analysis"/>
    </sheetNames>
    <sheetDataSet>
      <sheetData sheetId="0"/>
      <sheetData sheetId="1"/>
      <sheetData sheetId="2"/>
      <sheetData sheetId="3"/>
      <sheetData sheetId="4"/>
      <sheetData sheetId="5">
        <row r="13">
          <cell r="D13">
            <v>0.49192605238095238</v>
          </cell>
        </row>
        <row r="14">
          <cell r="D14">
            <v>0.5467124187238136</v>
          </cell>
        </row>
        <row r="15">
          <cell r="D15">
            <v>0.57240521699275571</v>
          </cell>
        </row>
        <row r="16">
          <cell r="D16">
            <v>0.68309280867911737</v>
          </cell>
        </row>
        <row r="17">
          <cell r="D17">
            <v>6.1977317704892329E-2</v>
          </cell>
        </row>
      </sheetData>
      <sheetData sheetId="6"/>
      <sheetData sheetId="7">
        <row r="4">
          <cell r="A4" t="str">
            <v>ISOM</v>
          </cell>
          <cell r="B4"/>
          <cell r="D4">
            <v>342631497374.86908</v>
          </cell>
          <cell r="E4">
            <v>1713594621244.8669</v>
          </cell>
          <cell r="F4">
            <v>23333536765.313465</v>
          </cell>
          <cell r="G4">
            <v>2079559655385.0469</v>
          </cell>
          <cell r="I4">
            <v>929095791951.41858</v>
          </cell>
          <cell r="J4">
            <v>5494328454038.2012</v>
          </cell>
          <cell r="K4">
            <v>1004295992862.0408</v>
          </cell>
          <cell r="L4">
            <v>7427720238851.6553</v>
          </cell>
        </row>
        <row r="5">
          <cell r="A5" t="str">
            <v>CYCLIC HEMIACETALS</v>
          </cell>
          <cell r="B5"/>
          <cell r="D5">
            <v>5080628716.4022684</v>
          </cell>
          <cell r="E5">
            <v>2792103592.7380195</v>
          </cell>
          <cell r="F5">
            <v>771064777.4809742</v>
          </cell>
          <cell r="G5">
            <v>8643797086.6212482</v>
          </cell>
          <cell r="I5">
            <v>103113847083.82907</v>
          </cell>
          <cell r="J5">
            <v>485591466653.62189</v>
          </cell>
          <cell r="K5">
            <v>69006882341.046371</v>
          </cell>
          <cell r="L5">
            <v>657712196078.49731</v>
          </cell>
        </row>
        <row r="6">
          <cell r="A6" t="str">
            <v>DINITR</v>
          </cell>
          <cell r="B6"/>
          <cell r="D6">
            <v>510742095513.75</v>
          </cell>
          <cell r="E6">
            <v>259173490670</v>
          </cell>
          <cell r="F6">
            <v>30752204259.336597</v>
          </cell>
          <cell r="G6">
            <v>800667790443.08679</v>
          </cell>
          <cell r="I6">
            <v>759108561680.05396</v>
          </cell>
          <cell r="J6">
            <v>1205382621700</v>
          </cell>
          <cell r="K6">
            <v>727390368028.98999</v>
          </cell>
          <cell r="L6">
            <v>2691881551409.0439</v>
          </cell>
        </row>
        <row r="7">
          <cell r="A7" t="str">
            <v>HYDROXY-CARBONYL</v>
          </cell>
          <cell r="B7"/>
          <cell r="D7">
            <v>361601818274.29999</v>
          </cell>
          <cell r="E7">
            <v>9875241358.6279984</v>
          </cell>
          <cell r="F7">
            <v>18990800684.75914</v>
          </cell>
          <cell r="G7">
            <v>390467860317.68713</v>
          </cell>
          <cell r="I7">
            <v>297839905889.20001</v>
          </cell>
          <cell r="J7">
            <v>24796901159.5</v>
          </cell>
          <cell r="K7">
            <v>79157987630</v>
          </cell>
          <cell r="L7">
            <v>401794794678.70001</v>
          </cell>
        </row>
        <row r="8">
          <cell r="A8" t="str">
            <v>NITRATE-CARBONYL</v>
          </cell>
          <cell r="B8"/>
          <cell r="D8">
            <v>205591010.46775642</v>
          </cell>
          <cell r="E8">
            <v>5644900.3557881908</v>
          </cell>
          <cell r="F8">
            <v>7715110.2291840008</v>
          </cell>
          <cell r="G8">
            <v>218951021.05272859</v>
          </cell>
          <cell r="I8">
            <v>1213005822.6767001</v>
          </cell>
          <cell r="J8">
            <v>101533297.89400001</v>
          </cell>
          <cell r="K8">
            <v>369220206.63220006</v>
          </cell>
          <cell r="L8">
            <v>1683759327.2029002</v>
          </cell>
        </row>
        <row r="9">
          <cell r="A9" t="str">
            <v>CARBONYL</v>
          </cell>
          <cell r="B9"/>
          <cell r="D9">
            <v>42003100000</v>
          </cell>
          <cell r="E9">
            <v>7519210</v>
          </cell>
          <cell r="F9">
            <v>88589000</v>
          </cell>
          <cell r="G9">
            <v>42099208210</v>
          </cell>
          <cell r="I9">
            <v>99747000000</v>
          </cell>
          <cell r="J9">
            <v>54437000</v>
          </cell>
          <cell r="K9">
            <v>213487000</v>
          </cell>
          <cell r="L9">
            <v>100014924000</v>
          </cell>
        </row>
        <row r="10">
          <cell r="A10" t="str">
            <v>DECOMP</v>
          </cell>
          <cell r="B10"/>
          <cell r="D10">
            <v>290451009670.7298</v>
          </cell>
          <cell r="E10">
            <v>3157735313.5666385</v>
          </cell>
          <cell r="F10">
            <v>1191513811.6163759</v>
          </cell>
          <cell r="G10">
            <v>294800258795.91174</v>
          </cell>
          <cell r="I10">
            <v>1987897249350.8403</v>
          </cell>
          <cell r="J10">
            <v>240566231288.2702</v>
          </cell>
          <cell r="K10">
            <v>132907428206.92653</v>
          </cell>
          <cell r="L10">
            <v>2361370908846.0356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ionary"/>
      <sheetName val="pathway analysis"/>
    </sheetNames>
    <sheetDataSet>
      <sheetData sheetId="0"/>
      <sheetData sheetId="1"/>
      <sheetData sheetId="2"/>
      <sheetData sheetId="3"/>
      <sheetData sheetId="4"/>
      <sheetData sheetId="5">
        <row r="13">
          <cell r="D13">
            <v>0.49079541428571427</v>
          </cell>
        </row>
        <row r="14">
          <cell r="D14">
            <v>0.48953578982522544</v>
          </cell>
        </row>
        <row r="15">
          <cell r="D15">
            <v>0.51223333471850852</v>
          </cell>
        </row>
        <row r="16">
          <cell r="D16">
            <v>0.60736405083622336</v>
          </cell>
        </row>
        <row r="17">
          <cell r="D17">
            <v>6.2241737500130678E-2</v>
          </cell>
        </row>
      </sheetData>
      <sheetData sheetId="6"/>
      <sheetData sheetId="7">
        <row r="4">
          <cell r="A4" t="str">
            <v>ISOM</v>
          </cell>
          <cell r="B4"/>
          <cell r="D4">
            <v>319131627486.93304</v>
          </cell>
          <cell r="E4">
            <v>1388741608455.7515</v>
          </cell>
          <cell r="F4">
            <v>20958664568.672462</v>
          </cell>
          <cell r="G4">
            <v>1728831900511.3552</v>
          </cell>
          <cell r="I4">
            <v>1039776469606.0636</v>
          </cell>
          <cell r="J4">
            <v>5056675858643.5137</v>
          </cell>
          <cell r="K4">
            <v>972007936114.27417</v>
          </cell>
          <cell r="L4">
            <v>7068460264363.8457</v>
          </cell>
        </row>
        <row r="5">
          <cell r="A5" t="str">
            <v>CYCLIC HEMIACETALS</v>
          </cell>
          <cell r="B5"/>
          <cell r="D5">
            <v>3622531826.1066856</v>
          </cell>
          <cell r="E5">
            <v>1811377698.0847995</v>
          </cell>
          <cell r="F5">
            <v>353894707.97906804</v>
          </cell>
          <cell r="G5">
            <v>5787804232.1705656</v>
          </cell>
          <cell r="I5">
            <v>130783405436.15579</v>
          </cell>
          <cell r="J5">
            <v>348967343909.37927</v>
          </cell>
          <cell r="K5">
            <v>57199504282.98774</v>
          </cell>
          <cell r="L5">
            <v>536950253628.52307</v>
          </cell>
        </row>
        <row r="6">
          <cell r="A6" t="str">
            <v>DINITR</v>
          </cell>
          <cell r="B6"/>
          <cell r="D6">
            <v>528625916565.95996</v>
          </cell>
          <cell r="E6">
            <v>231568739060</v>
          </cell>
          <cell r="F6">
            <v>31402459800.659996</v>
          </cell>
          <cell r="G6">
            <v>791597115426.62</v>
          </cell>
          <cell r="I6">
            <v>776968453353.42993</v>
          </cell>
          <cell r="J6">
            <v>1152451505600</v>
          </cell>
          <cell r="K6">
            <v>745519613662.58008</v>
          </cell>
          <cell r="L6">
            <v>2674939572616.0098</v>
          </cell>
        </row>
        <row r="7">
          <cell r="A7" t="str">
            <v>HYDROXY-CARBONYL</v>
          </cell>
          <cell r="B7"/>
          <cell r="D7">
            <v>578495482089</v>
          </cell>
          <cell r="E7">
            <v>13486691239.02</v>
          </cell>
          <cell r="F7">
            <v>30190216833.060001</v>
          </cell>
          <cell r="G7">
            <v>622172390161.07996</v>
          </cell>
          <cell r="I7">
            <v>491688851900</v>
          </cell>
          <cell r="J7">
            <v>37052526360</v>
          </cell>
          <cell r="K7">
            <v>130677581050</v>
          </cell>
          <cell r="L7">
            <v>659418959310</v>
          </cell>
        </row>
        <row r="8">
          <cell r="A8" t="str">
            <v>NITRATE-CARBONYL</v>
          </cell>
          <cell r="B8"/>
          <cell r="D8">
            <v>416201610.66898715</v>
          </cell>
          <cell r="E8">
            <v>9755240.3098977804</v>
          </cell>
          <cell r="F8">
            <v>15483280.231742859</v>
          </cell>
          <cell r="G8">
            <v>441440131.21062773</v>
          </cell>
          <cell r="I8">
            <v>2509033034.6569996</v>
          </cell>
          <cell r="J8">
            <v>190093413.96399999</v>
          </cell>
          <cell r="K8">
            <v>763805592.34060001</v>
          </cell>
          <cell r="L8">
            <v>3462932040.9616003</v>
          </cell>
        </row>
        <row r="9">
          <cell r="A9" t="str">
            <v>CARBONYL</v>
          </cell>
          <cell r="B9"/>
          <cell r="D9">
            <v>41660400000</v>
          </cell>
          <cell r="E9">
            <v>6366680</v>
          </cell>
          <cell r="F9">
            <v>87865200</v>
          </cell>
          <cell r="G9">
            <v>41754631880</v>
          </cell>
          <cell r="I9">
            <v>99774600000</v>
          </cell>
          <cell r="J9">
            <v>49286800</v>
          </cell>
          <cell r="K9">
            <v>213546000</v>
          </cell>
          <cell r="L9">
            <v>100037432800</v>
          </cell>
        </row>
        <row r="10">
          <cell r="A10" t="str">
            <v>DECOMP</v>
          </cell>
          <cell r="B10"/>
          <cell r="D10">
            <v>319428605918.01971</v>
          </cell>
          <cell r="E10">
            <v>3231194671.9029336</v>
          </cell>
          <cell r="F10">
            <v>1342954717.6832924</v>
          </cell>
          <cell r="G10">
            <v>324002755307.60632</v>
          </cell>
          <cell r="I10">
            <v>2000375656454.5759</v>
          </cell>
          <cell r="J10">
            <v>114250332021.66467</v>
          </cell>
          <cell r="K10">
            <v>66242285166.255142</v>
          </cell>
          <cell r="L10">
            <v>2180868273642.4983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RO fates"/>
      <sheetName val="dictionary"/>
      <sheetName val="pathway analysis"/>
      <sheetName val="funct_vs_site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D14">
            <v>0.69840625150977431</v>
          </cell>
        </row>
        <row r="15">
          <cell r="D15">
            <v>0.72549631722792185</v>
          </cell>
        </row>
        <row r="16">
          <cell r="D16">
            <v>0.83692887891243439</v>
          </cell>
        </row>
        <row r="17">
          <cell r="D17">
            <v>5.1514661762541797E-2</v>
          </cell>
        </row>
      </sheetData>
      <sheetData sheetId="7"/>
      <sheetData sheetId="8"/>
      <sheetData sheetId="9">
        <row r="4">
          <cell r="A4" t="str">
            <v>ISOM</v>
          </cell>
          <cell r="B4"/>
          <cell r="D4">
            <v>299828139757.09998</v>
          </cell>
          <cell r="E4">
            <v>2336103537140</v>
          </cell>
          <cell r="F4">
            <v>24935144723.790001</v>
          </cell>
          <cell r="G4">
            <v>2660866821620.8901</v>
          </cell>
          <cell r="I4">
            <v>308380120980.40002</v>
          </cell>
          <cell r="J4">
            <v>6788251297000</v>
          </cell>
          <cell r="K4">
            <v>659912196325</v>
          </cell>
          <cell r="L4">
            <v>7756543614305.4004</v>
          </cell>
        </row>
        <row r="5">
          <cell r="A5" t="str">
            <v>DINITR</v>
          </cell>
          <cell r="B5"/>
          <cell r="D5">
            <v>597117500000</v>
          </cell>
          <cell r="E5">
            <v>451204320000</v>
          </cell>
          <cell r="F5">
            <v>38511471000</v>
          </cell>
          <cell r="G5">
            <v>1086833291000</v>
          </cell>
          <cell r="I5">
            <v>738364500000</v>
          </cell>
          <cell r="J5">
            <v>1574042300000</v>
          </cell>
          <cell r="K5">
            <v>707900000000</v>
          </cell>
          <cell r="L5">
            <v>3020306800000</v>
          </cell>
        </row>
        <row r="6">
          <cell r="A6" t="str">
            <v>HYDROXY-CARBONYL</v>
          </cell>
          <cell r="B6"/>
          <cell r="D6">
            <v>276233000000</v>
          </cell>
          <cell r="E6">
            <v>11694300000</v>
          </cell>
          <cell r="F6">
            <v>15547300000</v>
          </cell>
          <cell r="G6">
            <v>303474600000</v>
          </cell>
          <cell r="I6">
            <v>363739000000</v>
          </cell>
          <cell r="J6">
            <v>43442800000</v>
          </cell>
          <cell r="K6">
            <v>110734000000</v>
          </cell>
          <cell r="L6">
            <v>517915800000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11270.7</v>
          </cell>
          <cell r="E8">
            <v>3.1274099999999998</v>
          </cell>
          <cell r="F8">
            <v>22.8443</v>
          </cell>
          <cell r="G8">
            <v>11296.671710000001</v>
          </cell>
          <cell r="I8">
            <v>5355120</v>
          </cell>
          <cell r="J8">
            <v>4192.5600000000004</v>
          </cell>
          <cell r="K8">
            <v>11459.7</v>
          </cell>
          <cell r="L8">
            <v>5370772.2599999998</v>
          </cell>
        </row>
        <row r="9">
          <cell r="A9" t="str">
            <v>DECOMP</v>
          </cell>
          <cell r="B9"/>
          <cell r="D9">
            <v>71573855000</v>
          </cell>
          <cell r="E9">
            <v>281291166.89999998</v>
          </cell>
          <cell r="F9">
            <v>227997244.09999999</v>
          </cell>
          <cell r="G9">
            <v>72083143411</v>
          </cell>
          <cell r="I9">
            <v>96517809400</v>
          </cell>
          <cell r="J9">
            <v>719970296.20000005</v>
          </cell>
          <cell r="K9">
            <v>574322412</v>
          </cell>
          <cell r="L9">
            <v>97812102108.199997</v>
          </cell>
        </row>
        <row r="10">
          <cell r="C10"/>
        </row>
        <row r="14">
          <cell r="B14">
            <v>2</v>
          </cell>
          <cell r="G14">
            <v>322988391.60000002</v>
          </cell>
          <cell r="O14" t="str">
            <v>HHNN</v>
          </cell>
        </row>
        <row r="15">
          <cell r="B15">
            <v>2</v>
          </cell>
          <cell r="G15">
            <v>11296.671710000001</v>
          </cell>
          <cell r="O15" t="str">
            <v>C</v>
          </cell>
        </row>
        <row r="16">
          <cell r="B16">
            <v>3</v>
          </cell>
          <cell r="G16">
            <v>28957504640</v>
          </cell>
          <cell r="O16" t="str">
            <v>DCMP</v>
          </cell>
        </row>
        <row r="17">
          <cell r="B17">
            <v>3</v>
          </cell>
          <cell r="G17">
            <v>35300230000</v>
          </cell>
          <cell r="O17" t="str">
            <v>NN</v>
          </cell>
        </row>
        <row r="18">
          <cell r="B18">
            <v>3</v>
          </cell>
          <cell r="G18">
            <v>49162350000</v>
          </cell>
          <cell r="O18" t="str">
            <v>HCN</v>
          </cell>
        </row>
        <row r="19">
          <cell r="B19">
            <v>3</v>
          </cell>
          <cell r="G19">
            <v>8265541110</v>
          </cell>
          <cell r="O19" t="str">
            <v>HNN</v>
          </cell>
        </row>
        <row r="20">
          <cell r="B20">
            <v>4</v>
          </cell>
          <cell r="G20">
            <v>178462670000</v>
          </cell>
          <cell r="O20" t="str">
            <v>NN</v>
          </cell>
        </row>
        <row r="21">
          <cell r="B21">
            <v>4</v>
          </cell>
          <cell r="G21">
            <v>400421950000</v>
          </cell>
          <cell r="O21" t="str">
            <v>HCN</v>
          </cell>
        </row>
        <row r="22">
          <cell r="B22">
            <v>4</v>
          </cell>
          <cell r="G22">
            <v>40352835000</v>
          </cell>
          <cell r="O22" t="str">
            <v>HCN</v>
          </cell>
        </row>
        <row r="23">
          <cell r="B23">
            <v>4</v>
          </cell>
          <cell r="G23">
            <v>63942795200</v>
          </cell>
          <cell r="O23" t="str">
            <v>HNN</v>
          </cell>
        </row>
        <row r="24">
          <cell r="B24">
            <v>4</v>
          </cell>
          <cell r="G24">
            <v>6219580540</v>
          </cell>
          <cell r="O24" t="str">
            <v>HNN</v>
          </cell>
        </row>
        <row r="25">
          <cell r="B25">
            <v>5</v>
          </cell>
          <cell r="G25">
            <v>303474600000</v>
          </cell>
          <cell r="O25" t="str">
            <v>HC</v>
          </cell>
        </row>
        <row r="26">
          <cell r="B26">
            <v>5</v>
          </cell>
          <cell r="G26">
            <v>179960580000</v>
          </cell>
          <cell r="O26" t="str">
            <v>NN</v>
          </cell>
        </row>
        <row r="27">
          <cell r="B27">
            <v>5</v>
          </cell>
          <cell r="G27">
            <v>100481810000</v>
          </cell>
          <cell r="O27" t="str">
            <v>HCN</v>
          </cell>
        </row>
        <row r="28">
          <cell r="B28">
            <v>5</v>
          </cell>
          <cell r="G28">
            <v>15991354100</v>
          </cell>
          <cell r="O28" t="str">
            <v>HNN</v>
          </cell>
        </row>
        <row r="29">
          <cell r="B29">
            <v>6</v>
          </cell>
          <cell r="G29">
            <v>179960580000</v>
          </cell>
          <cell r="O29" t="str">
            <v>NN</v>
          </cell>
        </row>
        <row r="30">
          <cell r="B30">
            <v>6</v>
          </cell>
          <cell r="G30">
            <v>222604550000</v>
          </cell>
          <cell r="O30" t="str">
            <v>HCN</v>
          </cell>
        </row>
        <row r="31">
          <cell r="B31">
            <v>6</v>
          </cell>
          <cell r="G31">
            <v>218604370000</v>
          </cell>
          <cell r="O31" t="str">
            <v>HCN</v>
          </cell>
        </row>
        <row r="32">
          <cell r="B32">
            <v>6</v>
          </cell>
          <cell r="G32">
            <v>4290683000</v>
          </cell>
          <cell r="O32" t="str">
            <v>DCMP</v>
          </cell>
        </row>
        <row r="33">
          <cell r="B33">
            <v>6</v>
          </cell>
          <cell r="G33">
            <v>35058832600</v>
          </cell>
          <cell r="O33" t="str">
            <v>HNN</v>
          </cell>
        </row>
        <row r="34">
          <cell r="B34">
            <v>6</v>
          </cell>
          <cell r="G34">
            <v>35052167400</v>
          </cell>
          <cell r="O34" t="str">
            <v>HNN</v>
          </cell>
        </row>
        <row r="35">
          <cell r="B35">
            <v>7</v>
          </cell>
          <cell r="G35">
            <v>179960580000</v>
          </cell>
          <cell r="O35" t="str">
            <v>NN</v>
          </cell>
        </row>
        <row r="36">
          <cell r="B36">
            <v>7</v>
          </cell>
          <cell r="G36">
            <v>402862750000</v>
          </cell>
          <cell r="O36" t="str">
            <v>HCN</v>
          </cell>
        </row>
        <row r="37">
          <cell r="B37">
            <v>7</v>
          </cell>
          <cell r="G37">
            <v>39805209000</v>
          </cell>
          <cell r="O37" t="str">
            <v>HCN</v>
          </cell>
        </row>
        <row r="38">
          <cell r="B38">
            <v>7</v>
          </cell>
          <cell r="G38">
            <v>63903920100</v>
          </cell>
          <cell r="O38" t="str">
            <v>HNN</v>
          </cell>
        </row>
        <row r="39">
          <cell r="B39">
            <v>7</v>
          </cell>
          <cell r="G39">
            <v>6218429340</v>
          </cell>
          <cell r="O39" t="str">
            <v>HNN</v>
          </cell>
        </row>
        <row r="40">
          <cell r="B40">
            <v>8</v>
          </cell>
          <cell r="G40">
            <v>179475660000</v>
          </cell>
          <cell r="O40" t="str">
            <v>NN</v>
          </cell>
        </row>
        <row r="41">
          <cell r="B41">
            <v>8</v>
          </cell>
          <cell r="G41">
            <v>379412280000</v>
          </cell>
          <cell r="O41" t="str">
            <v>HCN</v>
          </cell>
        </row>
        <row r="42">
          <cell r="B42">
            <v>8</v>
          </cell>
          <cell r="G42">
            <v>70149370700</v>
          </cell>
          <cell r="O42" t="str">
            <v>HNN</v>
          </cell>
        </row>
        <row r="43">
          <cell r="B43">
            <v>9</v>
          </cell>
          <cell r="G43">
            <v>131701140000</v>
          </cell>
          <cell r="O43" t="str">
            <v>NN</v>
          </cell>
        </row>
        <row r="44">
          <cell r="B44">
            <v>9</v>
          </cell>
          <cell r="G44">
            <v>310528820000</v>
          </cell>
          <cell r="O44" t="str">
            <v>HCN</v>
          </cell>
        </row>
        <row r="45">
          <cell r="B45">
            <v>9</v>
          </cell>
          <cell r="G45">
            <v>52014058300</v>
          </cell>
          <cell r="O45" t="str">
            <v>HNN</v>
          </cell>
        </row>
        <row r="46">
          <cell r="B46">
            <v>9</v>
          </cell>
          <cell r="G46">
            <v>322263200</v>
          </cell>
          <cell r="O46" t="str">
            <v>DCMP</v>
          </cell>
        </row>
        <row r="47">
          <cell r="B47">
            <v>9</v>
          </cell>
          <cell r="G47">
            <v>2034684045</v>
          </cell>
          <cell r="O47" t="str">
            <v>HHNN</v>
          </cell>
        </row>
        <row r="48">
          <cell r="B48">
            <v>10</v>
          </cell>
          <cell r="G48">
            <v>22011851000</v>
          </cell>
          <cell r="O48" t="str">
            <v>NN</v>
          </cell>
        </row>
        <row r="49">
          <cell r="B49">
            <v>10</v>
          </cell>
          <cell r="G49">
            <v>47453233000</v>
          </cell>
          <cell r="O49" t="str">
            <v>HCN</v>
          </cell>
        </row>
        <row r="50">
          <cell r="B50">
            <v>10</v>
          </cell>
          <cell r="G50">
            <v>8806564060</v>
          </cell>
          <cell r="O50" t="str">
            <v>HNN</v>
          </cell>
        </row>
        <row r="51">
          <cell r="B51">
            <v>10</v>
          </cell>
          <cell r="G51">
            <v>6957210690</v>
          </cell>
          <cell r="O51" t="str">
            <v>HHCN</v>
          </cell>
        </row>
        <row r="52">
          <cell r="B52">
            <v>10</v>
          </cell>
          <cell r="G52">
            <v>1052901587.7</v>
          </cell>
          <cell r="O52" t="str">
            <v>HHNN</v>
          </cell>
        </row>
        <row r="53">
          <cell r="B53" t="str">
            <v>10.N</v>
          </cell>
          <cell r="G53">
            <v>57777001000</v>
          </cell>
          <cell r="O53" t="str">
            <v>HHC</v>
          </cell>
        </row>
        <row r="54">
          <cell r="B54" t="str">
            <v>10.N</v>
          </cell>
          <cell r="G54">
            <v>193178870</v>
          </cell>
          <cell r="O54" t="str">
            <v>HN</v>
          </cell>
        </row>
        <row r="55">
          <cell r="B55" t="str">
            <v>10.N</v>
          </cell>
          <cell r="G55">
            <v>53539080</v>
          </cell>
          <cell r="O55" t="str">
            <v>HHC</v>
          </cell>
        </row>
        <row r="56">
          <cell r="B56" t="str">
            <v>10.N</v>
          </cell>
          <cell r="G56">
            <v>8704106.5899999999</v>
          </cell>
          <cell r="O56" t="str">
            <v>HHN</v>
          </cell>
        </row>
      </sheetData>
      <sheetData sheetId="1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"/>
      <sheetName val="dictionary"/>
      <sheetName val="categories"/>
      <sheetName val="SOA_spec@maxaer"/>
      <sheetName val="ranks"/>
      <sheetName val="Figu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3">
          <cell r="D13">
            <v>0.49984875238095239</v>
          </cell>
        </row>
        <row r="14">
          <cell r="D14">
            <v>0.67930748704498056</v>
          </cell>
        </row>
        <row r="15">
          <cell r="D15">
            <v>0.71060354048044194</v>
          </cell>
        </row>
        <row r="16">
          <cell r="D16">
            <v>0.80778734494796767</v>
          </cell>
        </row>
        <row r="17">
          <cell r="D17">
            <v>6.0613462636058095E-2</v>
          </cell>
        </row>
      </sheetData>
      <sheetData sheetId="6" refreshError="1"/>
      <sheetData sheetId="7" refreshError="1"/>
      <sheetData sheetId="8">
        <row r="4">
          <cell r="A4" t="str">
            <v>ISOMERISATION</v>
          </cell>
          <cell r="C4" t="str">
            <v>(gen 2+)</v>
          </cell>
          <cell r="F4">
            <v>310861943610.5</v>
          </cell>
          <cell r="G4">
            <v>4198980351619.2998</v>
          </cell>
          <cell r="H4">
            <v>82528664915.054123</v>
          </cell>
          <cell r="I4">
            <v>4592370960144.8545</v>
          </cell>
          <cell r="K4">
            <v>240289295585.89999</v>
          </cell>
          <cell r="L4">
            <v>2009591971138.2</v>
          </cell>
          <cell r="M4">
            <v>160758616332.98138</v>
          </cell>
          <cell r="N4">
            <v>2410639883057.0811</v>
          </cell>
          <cell r="P4">
            <v>724239786053.31787</v>
          </cell>
          <cell r="Q4">
            <v>5404470932234.7275</v>
          </cell>
          <cell r="R4">
            <v>194592951954.77716</v>
          </cell>
          <cell r="S4">
            <v>6323303670242.8184</v>
          </cell>
          <cell r="U4">
            <v>1351755585096.8799</v>
          </cell>
          <cell r="V4">
            <v>4768640820975.7598</v>
          </cell>
          <cell r="W4">
            <v>941363571499.13745</v>
          </cell>
          <cell r="X4">
            <v>7061759977571.7803</v>
          </cell>
        </row>
        <row r="5">
          <cell r="A5" t="str">
            <v>DINITRATES</v>
          </cell>
          <cell r="F5">
            <v>678329300000</v>
          </cell>
          <cell r="G5">
            <v>1270542700000</v>
          </cell>
          <cell r="H5">
            <v>437928580000</v>
          </cell>
          <cell r="I5">
            <v>2386800580000</v>
          </cell>
          <cell r="K5">
            <v>773219300000</v>
          </cell>
          <cell r="L5">
            <v>1229062000000</v>
          </cell>
          <cell r="M5">
            <v>734231400000</v>
          </cell>
          <cell r="N5">
            <v>2736512700000</v>
          </cell>
          <cell r="P5">
            <v>678329300000</v>
          </cell>
          <cell r="Q5">
            <v>1270542700000</v>
          </cell>
          <cell r="R5">
            <v>437928580000</v>
          </cell>
          <cell r="S5">
            <v>2386800580000</v>
          </cell>
          <cell r="U5">
            <v>773219300000</v>
          </cell>
          <cell r="V5">
            <v>1229062000000</v>
          </cell>
          <cell r="W5">
            <v>734231400000</v>
          </cell>
          <cell r="X5">
            <v>2736512700000</v>
          </cell>
        </row>
        <row r="6">
          <cell r="A6" t="str">
            <v>HYDROXY CARBONYLS</v>
          </cell>
          <cell r="F6">
            <v>2383600000</v>
          </cell>
          <cell r="G6">
            <v>249844000</v>
          </cell>
          <cell r="H6">
            <v>3962730</v>
          </cell>
          <cell r="I6">
            <v>2637406730</v>
          </cell>
          <cell r="K6">
            <v>196832000</v>
          </cell>
          <cell r="L6">
            <v>17510300</v>
          </cell>
          <cell r="M6">
            <v>326502</v>
          </cell>
          <cell r="N6">
            <v>214668802</v>
          </cell>
          <cell r="P6">
            <v>2383743123</v>
          </cell>
          <cell r="Q6">
            <v>249859001.80000001</v>
          </cell>
          <cell r="R6">
            <v>3962967.27</v>
          </cell>
          <cell r="S6">
            <v>2637565092.0700002</v>
          </cell>
          <cell r="U6">
            <v>197024987</v>
          </cell>
          <cell r="V6">
            <v>17527468.199999999</v>
          </cell>
          <cell r="W6">
            <v>326821.94799999997</v>
          </cell>
          <cell r="X6">
            <v>214879277.148</v>
          </cell>
        </row>
        <row r="7">
          <cell r="A7" t="str">
            <v>CYCLIC HEMIACETALS</v>
          </cell>
          <cell r="F7">
            <v>0</v>
          </cell>
          <cell r="G7">
            <v>577610000000</v>
          </cell>
          <cell r="H7">
            <v>17025400000</v>
          </cell>
          <cell r="I7">
            <v>594635400000</v>
          </cell>
          <cell r="K7">
            <v>0</v>
          </cell>
          <cell r="L7">
            <v>64791400000</v>
          </cell>
          <cell r="M7">
            <v>1526230000</v>
          </cell>
          <cell r="N7">
            <v>66317630000</v>
          </cell>
          <cell r="P7">
            <v>0</v>
          </cell>
          <cell r="Q7">
            <v>577616912800</v>
          </cell>
          <cell r="R7">
            <v>17025528158</v>
          </cell>
          <cell r="S7">
            <v>594642440958</v>
          </cell>
          <cell r="U7">
            <v>0</v>
          </cell>
          <cell r="V7">
            <v>64807599000</v>
          </cell>
          <cell r="W7">
            <v>1526523417</v>
          </cell>
          <cell r="X7">
            <v>66334122417</v>
          </cell>
        </row>
        <row r="8">
          <cell r="A8" t="str">
            <v>CARBONYL NITRATES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P8">
            <v>11873041400.921</v>
          </cell>
          <cell r="Q8">
            <v>1252639235.0037003</v>
          </cell>
          <cell r="R8">
            <v>3218844603.8559999</v>
          </cell>
          <cell r="S8">
            <v>16344525239.780699</v>
          </cell>
          <cell r="U8">
            <v>15200398996.640001</v>
          </cell>
          <cell r="V8">
            <v>1360934793.0090001</v>
          </cell>
          <cell r="W8">
            <v>4622622793.2290001</v>
          </cell>
          <cell r="X8">
            <v>21183956582.877998</v>
          </cell>
        </row>
        <row r="9">
          <cell r="A9" t="str">
            <v>CARBONYL</v>
          </cell>
          <cell r="F9">
            <v>91317600000</v>
          </cell>
          <cell r="G9">
            <v>62815800</v>
          </cell>
          <cell r="H9">
            <v>195419000</v>
          </cell>
          <cell r="I9">
            <v>91575834800</v>
          </cell>
          <cell r="K9">
            <v>96994300000</v>
          </cell>
          <cell r="L9">
            <v>56620900</v>
          </cell>
          <cell r="M9">
            <v>207594000</v>
          </cell>
          <cell r="N9">
            <v>97258514900</v>
          </cell>
          <cell r="P9">
            <v>91317600000</v>
          </cell>
          <cell r="Q9">
            <v>62815800</v>
          </cell>
          <cell r="R9">
            <v>195419000</v>
          </cell>
          <cell r="S9">
            <v>91575834800</v>
          </cell>
          <cell r="U9">
            <v>96994300000</v>
          </cell>
          <cell r="V9">
            <v>56620900</v>
          </cell>
          <cell r="W9">
            <v>207594000</v>
          </cell>
          <cell r="X9">
            <v>97258514900</v>
          </cell>
        </row>
        <row r="10">
          <cell r="A10" t="str">
            <v>DECOMPOSITION</v>
          </cell>
          <cell r="F10">
            <v>74810201813.399994</v>
          </cell>
          <cell r="G10">
            <v>24766082719.799999</v>
          </cell>
          <cell r="H10">
            <v>4245369521.8429999</v>
          </cell>
          <cell r="I10">
            <v>103821654055.043</v>
          </cell>
          <cell r="K10">
            <v>71383670364.369995</v>
          </cell>
          <cell r="L10">
            <v>4423835867.4000006</v>
          </cell>
          <cell r="M10">
            <v>1211575260.6973</v>
          </cell>
          <cell r="N10">
            <v>77019081492.467316</v>
          </cell>
          <cell r="P10">
            <v>176479553650.68445</v>
          </cell>
          <cell r="Q10">
            <v>66015808601.549553</v>
          </cell>
          <cell r="R10">
            <v>15112112522.79228</v>
          </cell>
          <cell r="S10">
            <v>257607474775.02606</v>
          </cell>
          <cell r="U10">
            <v>342990883387.81299</v>
          </cell>
          <cell r="V10">
            <v>111234556676.6685</v>
          </cell>
          <cell r="W10">
            <v>53619838790.087296</v>
          </cell>
          <cell r="X10">
            <v>507845278854.56873</v>
          </cell>
        </row>
        <row r="11">
          <cell r="A11" t="str">
            <v>Higher_gen_C/10</v>
          </cell>
          <cell r="F11">
            <v>950680012705.64722</v>
          </cell>
          <cell r="G11">
            <v>1249162684092.9941</v>
          </cell>
          <cell r="H11">
            <v>127783630389.14801</v>
          </cell>
          <cell r="I11">
            <v>2327626327187.793</v>
          </cell>
          <cell r="K11">
            <v>2537327047553.166</v>
          </cell>
          <cell r="L11">
            <v>2875186279262.79</v>
          </cell>
          <cell r="M11">
            <v>853889035783.61926</v>
          </cell>
          <cell r="N11">
            <v>6266402362599.5781</v>
          </cell>
          <cell r="P11">
            <v>342261000000</v>
          </cell>
          <cell r="Q11">
            <v>0</v>
          </cell>
          <cell r="R11">
            <v>0</v>
          </cell>
          <cell r="S11">
            <v>342261000000</v>
          </cell>
          <cell r="U11">
            <v>898547000000</v>
          </cell>
          <cell r="V11">
            <v>0</v>
          </cell>
          <cell r="W11">
            <v>0</v>
          </cell>
          <cell r="X11">
            <v>898547000000</v>
          </cell>
        </row>
      </sheetData>
      <sheetData sheetId="9" refreshError="1"/>
      <sheetData sheetId="10" refreshError="1"/>
      <sheetData sheetId="1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pathway analysis"/>
      <sheetName val="SOA_spec@maxaer"/>
      <sheetName val="SOA_spec_summary"/>
      <sheetName val="dict_1g"/>
      <sheetName val="pathway analysis (gen 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">
          <cell r="A4" t="str">
            <v>CARBONYL</v>
          </cell>
          <cell r="B4"/>
          <cell r="D4">
            <v>1098100000000</v>
          </cell>
          <cell r="E4">
            <v>2363220000</v>
          </cell>
          <cell r="F4">
            <v>5840740000</v>
          </cell>
          <cell r="G4">
            <v>1106303960000</v>
          </cell>
          <cell r="I4">
            <v>922214000000</v>
          </cell>
          <cell r="J4">
            <v>1278220000</v>
          </cell>
          <cell r="K4">
            <v>4901120000</v>
          </cell>
          <cell r="L4">
            <v>928393340000</v>
          </cell>
        </row>
        <row r="5">
          <cell r="A5" t="str">
            <v>NITR</v>
          </cell>
          <cell r="B5"/>
          <cell r="D5">
            <v>335050250000</v>
          </cell>
          <cell r="E5">
            <v>786491300000</v>
          </cell>
          <cell r="F5">
            <v>183420840000</v>
          </cell>
          <cell r="G5">
            <v>1304962390000</v>
          </cell>
          <cell r="I5">
            <v>416036100000</v>
          </cell>
          <cell r="J5">
            <v>628988600000</v>
          </cell>
          <cell r="K5">
            <v>390593920000</v>
          </cell>
          <cell r="L5">
            <v>1435618620000</v>
          </cell>
        </row>
        <row r="6">
          <cell r="A6" t="str">
            <v>DECOMP</v>
          </cell>
          <cell r="B6"/>
          <cell r="D6">
            <v>1740438900473.0708</v>
          </cell>
          <cell r="E6">
            <v>1259321711418.1824</v>
          </cell>
          <cell r="F6">
            <v>84836391313.687897</v>
          </cell>
          <cell r="G6">
            <v>3084597003204.9385</v>
          </cell>
          <cell r="I6">
            <v>2515277381921.6406</v>
          </cell>
          <cell r="J6">
            <v>403282491921.21051</v>
          </cell>
          <cell r="K6">
            <v>188310199420.18774</v>
          </cell>
          <cell r="L6">
            <v>3106870073263.043</v>
          </cell>
        </row>
        <row r="7">
          <cell r="A7" t="str">
            <v>HYDROXY-CARBONYL</v>
          </cell>
          <cell r="B7"/>
          <cell r="D7">
            <v>1740114488.9456</v>
          </cell>
          <cell r="E7">
            <v>416966970.75339991</v>
          </cell>
          <cell r="F7">
            <v>199205516.67399997</v>
          </cell>
          <cell r="G7">
            <v>2356286976.3730011</v>
          </cell>
          <cell r="I7">
            <v>1048352739.4620001</v>
          </cell>
          <cell r="J7">
            <v>94349096.177000001</v>
          </cell>
          <cell r="K7">
            <v>306087892.53300005</v>
          </cell>
          <cell r="L7">
            <v>1448789728.1719999</v>
          </cell>
        </row>
        <row r="8">
          <cell r="A8" t="str">
            <v>CYCLIC HEMIACETAL</v>
          </cell>
          <cell r="B8"/>
          <cell r="D8">
            <v>174833688.47099999</v>
          </cell>
          <cell r="E8">
            <v>9941160760072</v>
          </cell>
          <cell r="F8">
            <v>69739327092.531754</v>
          </cell>
          <cell r="G8">
            <v>10011074920852.998</v>
          </cell>
          <cell r="I8">
            <v>1307189601.3165998</v>
          </cell>
          <cell r="J8">
            <v>1118914149298.499</v>
          </cell>
          <cell r="K8">
            <v>62707862955.198181</v>
          </cell>
          <cell r="L8">
            <v>1182929201855.0139</v>
          </cell>
        </row>
        <row r="9">
          <cell r="A9" t="str">
            <v>DIHYDROFURAN</v>
          </cell>
          <cell r="B9"/>
          <cell r="D9">
            <v>47276425348.288284</v>
          </cell>
          <cell r="E9">
            <v>97628771475.599976</v>
          </cell>
          <cell r="F9">
            <v>8334883954.004199</v>
          </cell>
          <cell r="G9">
            <v>153240080777.8924</v>
          </cell>
          <cell r="I9">
            <v>38923097537.446251</v>
          </cell>
          <cell r="J9">
            <v>98706834937.139984</v>
          </cell>
          <cell r="K9">
            <v>20163750303.510822</v>
          </cell>
          <cell r="L9">
            <v>157793682778.09702</v>
          </cell>
        </row>
        <row r="10">
          <cell r="A10" t="str">
            <v>CYCLIC HEMIACETAL</v>
          </cell>
          <cell r="D10">
            <v>47451259036.759285</v>
          </cell>
          <cell r="E10">
            <v>10038789531547.6</v>
          </cell>
          <cell r="F10">
            <v>78074211046.53595</v>
          </cell>
          <cell r="G10">
            <v>10164315001630.891</v>
          </cell>
          <cell r="I10">
            <v>40230287138.762848</v>
          </cell>
          <cell r="J10">
            <v>1217620984235.6389</v>
          </cell>
          <cell r="K10">
            <v>82871613258.709</v>
          </cell>
          <cell r="L10">
            <v>1340722884633.1108</v>
          </cell>
        </row>
        <row r="11">
          <cell r="A11" t="str">
            <v>ISOM</v>
          </cell>
          <cell r="B11"/>
          <cell r="D11">
            <v>680259719509.17896</v>
          </cell>
          <cell r="E11">
            <v>3127727642365.8599</v>
          </cell>
          <cell r="F11">
            <v>188649909368.79919</v>
          </cell>
          <cell r="G11">
            <v>3996637271243.8374</v>
          </cell>
          <cell r="I11">
            <v>1027606046093.7484</v>
          </cell>
          <cell r="J11">
            <v>6738953924649.4365</v>
          </cell>
          <cell r="K11">
            <v>2016970525436.3518</v>
          </cell>
          <cell r="L11">
            <v>9783530496179.5332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pathway analysis"/>
      <sheetName val="aer_spec@maxaer"/>
      <sheetName val="aer_spec_summary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D13">
            <v>0.80767721904761902</v>
          </cell>
        </row>
        <row r="14">
          <cell r="D14">
            <v>0.43810644614822419</v>
          </cell>
        </row>
        <row r="15">
          <cell r="D15">
            <v>0.44248322149906466</v>
          </cell>
        </row>
        <row r="16">
          <cell r="D16">
            <v>0.53148870153894512</v>
          </cell>
        </row>
        <row r="17">
          <cell r="D17">
            <v>3.1193740550396417E-2</v>
          </cell>
        </row>
      </sheetData>
      <sheetData sheetId="7"/>
      <sheetData sheetId="8">
        <row r="4">
          <cell r="A4" t="str">
            <v>CARBONYL</v>
          </cell>
          <cell r="B4"/>
          <cell r="D4">
            <v>3517550000000</v>
          </cell>
          <cell r="E4">
            <v>2434100000</v>
          </cell>
          <cell r="F4">
            <v>7529040000</v>
          </cell>
          <cell r="G4">
            <v>3527513140000</v>
          </cell>
          <cell r="I4">
            <v>3332860000000</v>
          </cell>
          <cell r="J4">
            <v>1154820000</v>
          </cell>
          <cell r="K4">
            <v>7133200000</v>
          </cell>
          <cell r="L4">
            <v>3341148020000</v>
          </cell>
        </row>
        <row r="5">
          <cell r="A5" t="str">
            <v>NITR</v>
          </cell>
          <cell r="B5"/>
          <cell r="D5">
            <v>302469300000</v>
          </cell>
          <cell r="E5">
            <v>566870400000</v>
          </cell>
          <cell r="F5">
            <v>167278640000</v>
          </cell>
          <cell r="G5">
            <v>1036618340000</v>
          </cell>
          <cell r="I5">
            <v>385188300000</v>
          </cell>
          <cell r="J5">
            <v>361477100000</v>
          </cell>
          <cell r="K5">
            <v>360467700000</v>
          </cell>
          <cell r="L5">
            <v>1107133100000</v>
          </cell>
        </row>
        <row r="6">
          <cell r="A6" t="str">
            <v>DECOMP</v>
          </cell>
          <cell r="B6"/>
          <cell r="D6">
            <v>4037908254686.0874</v>
          </cell>
          <cell r="E6">
            <v>1112091579395.9185</v>
          </cell>
          <cell r="F6">
            <v>110531145403.59544</v>
          </cell>
          <cell r="G6">
            <v>5260530979485.6006</v>
          </cell>
          <cell r="I6">
            <v>4236497401540.4053</v>
          </cell>
          <cell r="J6">
            <v>213001567036.39334</v>
          </cell>
          <cell r="K6">
            <v>129853017363.21616</v>
          </cell>
          <cell r="L6">
            <v>4579351985940.0137</v>
          </cell>
        </row>
        <row r="7">
          <cell r="A7" t="str">
            <v>HYDROXY-CARBONYL</v>
          </cell>
          <cell r="B7"/>
          <cell r="D7">
            <v>3780394707.7979999</v>
          </cell>
          <cell r="E7">
            <v>398665280.9332</v>
          </cell>
          <cell r="F7">
            <v>216385648.95079899</v>
          </cell>
          <cell r="G7">
            <v>4395445637.6819983</v>
          </cell>
          <cell r="I7">
            <v>1192638537.109</v>
          </cell>
          <cell r="J7">
            <v>63035363.059369996</v>
          </cell>
          <cell r="K7">
            <v>323807516.36533296</v>
          </cell>
          <cell r="L7">
            <v>1579481416.5337029</v>
          </cell>
        </row>
        <row r="8">
          <cell r="A8" t="str">
            <v>CYCLIC HEMIACETAL</v>
          </cell>
          <cell r="B8"/>
          <cell r="D8">
            <v>52312090873.20401</v>
          </cell>
          <cell r="E8">
            <v>7733620834697.6191</v>
          </cell>
          <cell r="F8">
            <v>76591145922.107712</v>
          </cell>
          <cell r="G8">
            <v>7862524071492.9336</v>
          </cell>
          <cell r="I8">
            <v>55581137106.790001</v>
          </cell>
          <cell r="J8">
            <v>856836357453.54285</v>
          </cell>
          <cell r="K8">
            <v>35921666941.842308</v>
          </cell>
          <cell r="L8">
            <v>948339161502.17566</v>
          </cell>
        </row>
        <row r="9">
          <cell r="A9" t="str">
            <v>ISOM</v>
          </cell>
          <cell r="B9"/>
          <cell r="D9">
            <v>778661132753.44788</v>
          </cell>
          <cell r="E9">
            <v>1715966860879.2476</v>
          </cell>
          <cell r="F9">
            <v>186371094372.41061</v>
          </cell>
          <cell r="G9">
            <v>2680999088005.1084</v>
          </cell>
          <cell r="I9">
            <v>1774530447062.6787</v>
          </cell>
          <cell r="J9">
            <v>2633619078421.6431</v>
          </cell>
          <cell r="K9">
            <v>1105022267548.4546</v>
          </cell>
          <cell r="L9">
            <v>5513171793032.7734</v>
          </cell>
        </row>
        <row r="10">
          <cell r="A10" t="str">
            <v>3RD-GEN-C/10</v>
          </cell>
          <cell r="B10"/>
          <cell r="D10">
            <v>4869080000000</v>
          </cell>
          <cell r="E10">
            <v>0</v>
          </cell>
          <cell r="F10">
            <v>0</v>
          </cell>
          <cell r="G10">
            <v>4869080000000</v>
          </cell>
          <cell r="I10">
            <v>4869080000000</v>
          </cell>
          <cell r="J10">
            <v>0</v>
          </cell>
          <cell r="K10">
            <v>0</v>
          </cell>
          <cell r="L10">
            <v>4869080000000</v>
          </cell>
        </row>
      </sheetData>
      <sheetData sheetId="9"/>
      <sheetData sheetId="1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pathway analysis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D13">
            <v>0.85786546761904758</v>
          </cell>
        </row>
        <row r="14">
          <cell r="D14">
            <v>0.29034483481226298</v>
          </cell>
        </row>
        <row r="15">
          <cell r="D15">
            <v>0.29225465870856215</v>
          </cell>
        </row>
        <row r="16">
          <cell r="D16">
            <v>0.34472730460496098</v>
          </cell>
        </row>
        <row r="17">
          <cell r="D17">
            <v>2.8094859434279577E-2</v>
          </cell>
        </row>
      </sheetData>
      <sheetData sheetId="7"/>
      <sheetData sheetId="8">
        <row r="4">
          <cell r="A4" t="str">
            <v>CARBONYL</v>
          </cell>
          <cell r="B4"/>
          <cell r="D4">
            <v>5160500000000</v>
          </cell>
          <cell r="E4">
            <v>2543840000</v>
          </cell>
          <cell r="F4">
            <v>11044900000</v>
          </cell>
          <cell r="G4">
            <v>5174088740000</v>
          </cell>
          <cell r="I4">
            <v>5040020000000</v>
          </cell>
          <cell r="J4">
            <v>1037020000</v>
          </cell>
          <cell r="K4">
            <v>10787000000</v>
          </cell>
          <cell r="L4">
            <v>5051844020000</v>
          </cell>
        </row>
        <row r="5">
          <cell r="A5" t="str">
            <v>NITR</v>
          </cell>
          <cell r="B5"/>
          <cell r="D5">
            <v>314461000000</v>
          </cell>
          <cell r="E5">
            <v>419825400000</v>
          </cell>
          <cell r="F5">
            <v>180954900000</v>
          </cell>
          <cell r="G5">
            <v>915241300000</v>
          </cell>
          <cell r="I5">
            <v>376926700000</v>
          </cell>
          <cell r="J5">
            <v>210051100000</v>
          </cell>
          <cell r="K5">
            <v>354190400000</v>
          </cell>
          <cell r="L5">
            <v>941168200000</v>
          </cell>
        </row>
        <row r="6">
          <cell r="A6" t="str">
            <v>DECOMP</v>
          </cell>
          <cell r="B6"/>
          <cell r="D6">
            <v>7330708104735.0781</v>
          </cell>
          <cell r="E6">
            <v>924524847288.16113</v>
          </cell>
          <cell r="F6">
            <v>248959393045.07788</v>
          </cell>
          <cell r="G6">
            <v>8504192345068.3203</v>
          </cell>
          <cell r="I6">
            <v>6824963146516.8818</v>
          </cell>
          <cell r="J6">
            <v>146328573431.71533</v>
          </cell>
          <cell r="K6">
            <v>123088693617.1927</v>
          </cell>
          <cell r="L6">
            <v>7094380413565.7861</v>
          </cell>
        </row>
        <row r="7">
          <cell r="A7" t="str">
            <v>HYDROXY-CARBONYL</v>
          </cell>
          <cell r="B7"/>
          <cell r="D7">
            <v>4508386570.7010002</v>
          </cell>
          <cell r="E7">
            <v>338747470.0869</v>
          </cell>
          <cell r="F7">
            <v>335820260.82532197</v>
          </cell>
          <cell r="G7">
            <v>5182954301.6132221</v>
          </cell>
          <cell r="I7">
            <v>1707629218.3390002</v>
          </cell>
          <cell r="J7">
            <v>53597067.674380004</v>
          </cell>
          <cell r="K7">
            <v>474333046.24807602</v>
          </cell>
          <cell r="L7">
            <v>2235559332.2614565</v>
          </cell>
        </row>
        <row r="8">
          <cell r="A8" t="str">
            <v>CYCLIC HEMIACETAL</v>
          </cell>
          <cell r="B8"/>
          <cell r="D8">
            <v>3949871460</v>
          </cell>
          <cell r="E8">
            <v>4174562987585.0698</v>
          </cell>
          <cell r="F8">
            <v>53647624326.281502</v>
          </cell>
          <cell r="G8">
            <v>4232160483371.3511</v>
          </cell>
          <cell r="I8">
            <v>27331392820</v>
          </cell>
          <cell r="J8">
            <v>446188226499.43994</v>
          </cell>
          <cell r="K8">
            <v>16382904412.962395</v>
          </cell>
          <cell r="L8">
            <v>489902523732.40259</v>
          </cell>
        </row>
        <row r="9">
          <cell r="A9" t="str">
            <v>ISOM</v>
          </cell>
          <cell r="B9"/>
          <cell r="D9">
            <v>940594888860.90906</v>
          </cell>
          <cell r="E9">
            <v>1527842721373.2925</v>
          </cell>
          <cell r="F9">
            <v>193593005092.26993</v>
          </cell>
          <cell r="G9">
            <v>2662030615326.4712</v>
          </cell>
          <cell r="I9">
            <v>1683113525261.3125</v>
          </cell>
          <cell r="J9">
            <v>1477967488771.9658</v>
          </cell>
          <cell r="K9">
            <v>891290457492.93823</v>
          </cell>
          <cell r="L9">
            <v>4052371471526.2173</v>
          </cell>
        </row>
        <row r="10">
          <cell r="A10" t="str">
            <v>3RD-GEN-C/10</v>
          </cell>
          <cell r="B10"/>
          <cell r="D10">
            <v>4876780000000</v>
          </cell>
          <cell r="E10">
            <v>0</v>
          </cell>
          <cell r="F10">
            <v>0</v>
          </cell>
          <cell r="G10">
            <v>4876780000000</v>
          </cell>
          <cell r="I10">
            <v>4416050000000</v>
          </cell>
          <cell r="J10">
            <v>0</v>
          </cell>
          <cell r="K10">
            <v>0</v>
          </cell>
          <cell r="L10">
            <v>4416050000000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pathway analysis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D13">
            <v>0.86298072952380955</v>
          </cell>
        </row>
        <row r="14">
          <cell r="D14">
            <v>0.1965008264771016</v>
          </cell>
        </row>
        <row r="15">
          <cell r="D15">
            <v>0.19770923867803836</v>
          </cell>
        </row>
        <row r="16">
          <cell r="D16">
            <v>0.23390827012737758</v>
          </cell>
        </row>
        <row r="17">
          <cell r="D17">
            <v>2.7762945998189646E-2</v>
          </cell>
        </row>
      </sheetData>
      <sheetData sheetId="7"/>
      <sheetData sheetId="8">
        <row r="4">
          <cell r="A4" t="str">
            <v>CARBONYL</v>
          </cell>
          <cell r="B4"/>
          <cell r="D4">
            <v>5122800000000</v>
          </cell>
          <cell r="E4">
            <v>1759600000</v>
          </cell>
          <cell r="F4">
            <v>10964300000</v>
          </cell>
          <cell r="G4">
            <v>5135523900000</v>
          </cell>
          <cell r="H4"/>
          <cell r="I4">
            <v>5001570000000</v>
          </cell>
          <cell r="J4">
            <v>723373000</v>
          </cell>
          <cell r="K4">
            <v>10704800000</v>
          </cell>
          <cell r="L4">
            <v>5012998173000</v>
          </cell>
        </row>
        <row r="5">
          <cell r="A5" t="str">
            <v>NITR</v>
          </cell>
          <cell r="B5"/>
          <cell r="D5">
            <v>355817700000</v>
          </cell>
          <cell r="E5">
            <v>331006800000</v>
          </cell>
          <cell r="F5">
            <v>212376800000</v>
          </cell>
          <cell r="G5">
            <v>899201300000</v>
          </cell>
          <cell r="H5"/>
          <cell r="I5">
            <v>391410300000</v>
          </cell>
          <cell r="J5">
            <v>153319000000</v>
          </cell>
          <cell r="K5">
            <v>370351000000</v>
          </cell>
          <cell r="L5">
            <v>915080300000</v>
          </cell>
        </row>
        <row r="6">
          <cell r="A6" t="str">
            <v>DECOMP</v>
          </cell>
          <cell r="B6"/>
          <cell r="D6">
            <v>9991626220598.4238</v>
          </cell>
          <cell r="E6">
            <v>543686628593.8045</v>
          </cell>
          <cell r="F6">
            <v>395095655559.87408</v>
          </cell>
          <cell r="G6">
            <v>10930408504752.111</v>
          </cell>
          <cell r="H6"/>
          <cell r="I6">
            <v>8397084347831.0215</v>
          </cell>
          <cell r="J6">
            <v>92298910679.914429</v>
          </cell>
          <cell r="K6">
            <v>134771028246.31284</v>
          </cell>
          <cell r="L6">
            <v>8624154286757.248</v>
          </cell>
        </row>
        <row r="7">
          <cell r="A7" t="str">
            <v>HYDROXY-CARBONYL</v>
          </cell>
          <cell r="B7"/>
          <cell r="D7">
            <v>17823053983.73</v>
          </cell>
          <cell r="E7">
            <v>933690327.93300009</v>
          </cell>
          <cell r="F7">
            <v>3984725968.0629997</v>
          </cell>
          <cell r="G7">
            <v>22741470279.726002</v>
          </cell>
          <cell r="H7"/>
          <cell r="I7">
            <v>13140218771.299999</v>
          </cell>
          <cell r="J7">
            <v>289917895.90800005</v>
          </cell>
          <cell r="K7">
            <v>3950876810.4899998</v>
          </cell>
          <cell r="L7">
            <v>17381013477.697998</v>
          </cell>
        </row>
        <row r="8">
          <cell r="A8" t="str">
            <v>CYCLIC HEMIACETAL</v>
          </cell>
          <cell r="B8"/>
          <cell r="D8">
            <v>3437566200</v>
          </cell>
          <cell r="E8">
            <v>2146834504740</v>
          </cell>
          <cell r="F8">
            <v>35095695488.16301</v>
          </cell>
          <cell r="G8">
            <v>2185367766428.1628</v>
          </cell>
          <cell r="H8"/>
          <cell r="I8">
            <v>8173846200</v>
          </cell>
          <cell r="J8">
            <v>271666717240</v>
          </cell>
          <cell r="K8">
            <v>4445666727.5617008</v>
          </cell>
          <cell r="L8">
            <v>284286230167.56171</v>
          </cell>
        </row>
        <row r="9">
          <cell r="A9" t="str">
            <v>ISOM</v>
          </cell>
          <cell r="B9"/>
          <cell r="D9">
            <v>909175645245.68323</v>
          </cell>
          <cell r="E9">
            <v>856182033918.48462</v>
          </cell>
          <cell r="F9">
            <v>174531350742.94983</v>
          </cell>
          <cell r="G9">
            <v>1939889029907.1157</v>
          </cell>
          <cell r="H9"/>
          <cell r="I9">
            <v>1600061606958.1191</v>
          </cell>
          <cell r="J9">
            <v>940896024486.95032</v>
          </cell>
          <cell r="K9">
            <v>686524428426.55176</v>
          </cell>
          <cell r="L9">
            <v>3227482059871.6196</v>
          </cell>
        </row>
        <row r="10">
          <cell r="A10" t="str">
            <v>3RD-GEN-C/10</v>
          </cell>
          <cell r="B10"/>
          <cell r="D10">
            <v>4893620000000</v>
          </cell>
          <cell r="E10">
            <v>0</v>
          </cell>
          <cell r="F10">
            <v>0</v>
          </cell>
          <cell r="G10">
            <v>4893620000000</v>
          </cell>
          <cell r="I10">
            <v>4893620000000</v>
          </cell>
          <cell r="J10">
            <v>0</v>
          </cell>
          <cell r="K10">
            <v>0</v>
          </cell>
          <cell r="L10">
            <v>4893620000000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pathway analysis"/>
      <sheetName val="SOA_spec@maxaer"/>
      <sheetName val="SOA_spec_summary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D13">
            <v>0.85652809523809526</v>
          </cell>
        </row>
        <row r="14">
          <cell r="D14">
            <v>0.11917127071823204</v>
          </cell>
        </row>
        <row r="15">
          <cell r="D15">
            <v>0.1199236091613409</v>
          </cell>
        </row>
        <row r="16">
          <cell r="D16">
            <v>0.14188862800458862</v>
          </cell>
        </row>
        <row r="17">
          <cell r="D17">
            <v>2.8243483288809077E-2</v>
          </cell>
        </row>
      </sheetData>
      <sheetData sheetId="7"/>
      <sheetData sheetId="8">
        <row r="4">
          <cell r="A4" t="str">
            <v>CARBONYL</v>
          </cell>
          <cell r="B4"/>
          <cell r="D4">
            <v>5120000000000</v>
          </cell>
          <cell r="E4">
            <v>1110000000</v>
          </cell>
          <cell r="F4">
            <v>11000000000</v>
          </cell>
          <cell r="G4">
            <v>5132110000000</v>
          </cell>
          <cell r="I4">
            <v>5030000000000</v>
          </cell>
          <cell r="J4">
            <v>456000000</v>
          </cell>
          <cell r="K4">
            <v>10800000000</v>
          </cell>
          <cell r="L4">
            <v>5041256000000</v>
          </cell>
        </row>
        <row r="5">
          <cell r="A5" t="str">
            <v>NITR</v>
          </cell>
          <cell r="B5"/>
          <cell r="D5">
            <v>399700000000</v>
          </cell>
          <cell r="E5">
            <v>233700000000</v>
          </cell>
          <cell r="F5">
            <v>218100000000</v>
          </cell>
          <cell r="G5">
            <v>851500000000</v>
          </cell>
          <cell r="I5">
            <v>394900000000</v>
          </cell>
          <cell r="J5">
            <v>97000000000</v>
          </cell>
          <cell r="K5">
            <v>377200000000</v>
          </cell>
          <cell r="L5">
            <v>869100000000</v>
          </cell>
        </row>
        <row r="6">
          <cell r="A6" t="str">
            <v>DECOMP</v>
          </cell>
          <cell r="B6"/>
          <cell r="D6">
            <v>9558590095132.623</v>
          </cell>
          <cell r="E6">
            <v>194532072223.76822</v>
          </cell>
          <cell r="F6">
            <v>580070279064.89575</v>
          </cell>
          <cell r="G6">
            <v>10333192446421.285</v>
          </cell>
          <cell r="I6">
            <v>6988860461239.6035</v>
          </cell>
          <cell r="J6">
            <v>46946409290.91497</v>
          </cell>
          <cell r="K6">
            <v>215512271124.66095</v>
          </cell>
          <cell r="L6">
            <v>7251319141655.1787</v>
          </cell>
        </row>
        <row r="7">
          <cell r="A7" t="str">
            <v>HYDROXY-CARBONYL</v>
          </cell>
          <cell r="B7"/>
          <cell r="D7">
            <v>46056004933</v>
          </cell>
          <cell r="E7">
            <v>1517600162.8999999</v>
          </cell>
          <cell r="F7">
            <v>8694000521.4099998</v>
          </cell>
          <cell r="G7">
            <v>56267605617.309998</v>
          </cell>
          <cell r="I7">
            <v>28720025792</v>
          </cell>
          <cell r="J7">
            <v>397130357.56999999</v>
          </cell>
          <cell r="K7">
            <v>8606837501.1470013</v>
          </cell>
          <cell r="L7">
            <v>37723993650.716995</v>
          </cell>
        </row>
        <row r="8">
          <cell r="A8" t="str">
            <v>CYCLIC HEMIACETAL</v>
          </cell>
          <cell r="B8"/>
          <cell r="D8">
            <v>64189382727</v>
          </cell>
          <cell r="E8">
            <v>1305968811990.0483</v>
          </cell>
          <cell r="F8">
            <v>82006947377.89801</v>
          </cell>
          <cell r="G8">
            <v>1452165142094.9463</v>
          </cell>
          <cell r="I8">
            <v>86422395070</v>
          </cell>
          <cell r="J8">
            <v>164321478560.349</v>
          </cell>
          <cell r="K8">
            <v>69457349097.550003</v>
          </cell>
          <cell r="L8">
            <v>320201222727.89899</v>
          </cell>
        </row>
        <row r="9">
          <cell r="A9" t="str">
            <v>ISOM</v>
          </cell>
          <cell r="B9"/>
          <cell r="D9">
            <v>1126206946606.3042</v>
          </cell>
          <cell r="E9">
            <v>521302995200</v>
          </cell>
          <cell r="F9">
            <v>149538929483.96002</v>
          </cell>
          <cell r="G9">
            <v>1797048871290.2642</v>
          </cell>
          <cell r="I9">
            <v>1987171641653.4673</v>
          </cell>
          <cell r="J9">
            <v>506163597005.70001</v>
          </cell>
          <cell r="K9">
            <v>446461473278.93817</v>
          </cell>
          <cell r="L9">
            <v>2939796711938.104</v>
          </cell>
        </row>
        <row r="10">
          <cell r="A10" t="str">
            <v>3RD-GEN-C/10</v>
          </cell>
          <cell r="B10"/>
          <cell r="D10">
            <v>4869080000000</v>
          </cell>
          <cell r="E10">
            <v>0</v>
          </cell>
          <cell r="F10">
            <v>0</v>
          </cell>
          <cell r="G10">
            <v>4869080000000</v>
          </cell>
          <cell r="I10">
            <v>4869080000000</v>
          </cell>
          <cell r="J10">
            <v>0</v>
          </cell>
          <cell r="K10">
            <v>0</v>
          </cell>
          <cell r="L10">
            <v>4869080000000</v>
          </cell>
        </row>
        <row r="11">
          <cell r="C11"/>
          <cell r="D11" t="str">
            <v>concs(t=60s)</v>
          </cell>
          <cell r="E11"/>
          <cell r="F11"/>
          <cell r="G11"/>
          <cell r="H11"/>
          <cell r="I11" t="str">
            <v>concs(t=60m)</v>
          </cell>
          <cell r="J11"/>
          <cell r="K11"/>
          <cell r="L11"/>
        </row>
      </sheetData>
      <sheetData sheetId="9"/>
      <sheetData sheetId="10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pathway analysis"/>
      <sheetName val="SOA_spec@maxaer"/>
      <sheetName val="SOA_spec_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3">
          <cell r="D13">
            <v>0.75526872380952381</v>
          </cell>
        </row>
        <row r="14">
          <cell r="D14">
            <v>0.58657313645422471</v>
          </cell>
        </row>
        <row r="15">
          <cell r="D15">
            <v>0.59512614448608592</v>
          </cell>
        </row>
        <row r="16">
          <cell r="D16">
            <v>0.72492107416247376</v>
          </cell>
        </row>
        <row r="17">
          <cell r="D17">
            <v>3.4597389502716278E-2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"/>
      <sheetName val="dictionary"/>
      <sheetName val="categories"/>
    </sheetNames>
    <sheetDataSet>
      <sheetData sheetId="0" refreshError="1"/>
      <sheetData sheetId="1" refreshError="1"/>
      <sheetData sheetId="2">
        <row r="7">
          <cell r="A7" t="str">
            <v>V01000</v>
          </cell>
        </row>
      </sheetData>
      <sheetData sheetId="3" refreshError="1"/>
      <sheetData sheetId="4" refreshError="1"/>
      <sheetData sheetId="5">
        <row r="13">
          <cell r="D13">
            <v>0.58133314285714288</v>
          </cell>
        </row>
        <row r="14">
          <cell r="D14">
            <v>0.77579230567814783</v>
          </cell>
        </row>
        <row r="15">
          <cell r="D15">
            <v>0.80333082075720996</v>
          </cell>
        </row>
        <row r="16">
          <cell r="D16">
            <v>0.9437356853103448</v>
          </cell>
        </row>
        <row r="17">
          <cell r="D17">
            <v>5.0077482474085271E-2</v>
          </cell>
        </row>
      </sheetData>
      <sheetData sheetId="6" refreshError="1"/>
      <sheetData sheetId="7" refreshError="1"/>
      <sheetData sheetId="8">
        <row r="4">
          <cell r="A4" t="str">
            <v>ISOMERISATION</v>
          </cell>
          <cell r="C4" t="str">
            <v>(gen 2+)</v>
          </cell>
          <cell r="F4">
            <v>374745388468.96997</v>
          </cell>
          <cell r="G4">
            <v>5516486488559.5</v>
          </cell>
          <cell r="H4">
            <v>72196547588.559418</v>
          </cell>
          <cell r="I4">
            <v>5963428424617.0293</v>
          </cell>
          <cell r="K4">
            <v>255984765806.75598</v>
          </cell>
          <cell r="L4">
            <v>1795319492313.5</v>
          </cell>
          <cell r="M4">
            <v>76656848805.406113</v>
          </cell>
          <cell r="N4">
            <v>2127961106925.6621</v>
          </cell>
          <cell r="P4">
            <v>770257154088.16589</v>
          </cell>
          <cell r="Q4">
            <v>7555463636566.8203</v>
          </cell>
          <cell r="R4">
            <v>213823255540.39929</v>
          </cell>
          <cell r="S4">
            <v>8539544046195.3838</v>
          </cell>
          <cell r="U4">
            <v>1337196801506.4304</v>
          </cell>
          <cell r="V4">
            <v>6531449349778.8467</v>
          </cell>
          <cell r="W4">
            <v>1089605617422.1166</v>
          </cell>
          <cell r="X4">
            <v>8958251768707.4004</v>
          </cell>
        </row>
        <row r="5">
          <cell r="A5" t="str">
            <v>DINITRATES</v>
          </cell>
          <cell r="F5">
            <v>700331700000</v>
          </cell>
          <cell r="G5">
            <v>1709398800000</v>
          </cell>
          <cell r="H5">
            <v>455800800000</v>
          </cell>
          <cell r="I5">
            <v>2865531300000</v>
          </cell>
          <cell r="K5">
            <v>788384700000</v>
          </cell>
          <cell r="L5">
            <v>1689633300000</v>
          </cell>
          <cell r="M5">
            <v>749607700000</v>
          </cell>
          <cell r="N5">
            <v>3227625700000</v>
          </cell>
          <cell r="P5">
            <v>700331700000</v>
          </cell>
          <cell r="Q5">
            <v>1709398800000</v>
          </cell>
          <cell r="R5">
            <v>455800800000</v>
          </cell>
          <cell r="S5">
            <v>2865531300000</v>
          </cell>
          <cell r="U5">
            <v>788384700000</v>
          </cell>
          <cell r="V5">
            <v>1689633300000</v>
          </cell>
          <cell r="W5">
            <v>749607700000</v>
          </cell>
          <cell r="X5">
            <v>3227625700000</v>
          </cell>
        </row>
        <row r="6">
          <cell r="A6" t="str">
            <v>HYDROXY CARBONYLS</v>
          </cell>
          <cell r="F6">
            <v>407001000</v>
          </cell>
          <cell r="G6">
            <v>137769000</v>
          </cell>
          <cell r="H6">
            <v>677776</v>
          </cell>
          <cell r="I6">
            <v>545447776</v>
          </cell>
          <cell r="K6">
            <v>32142800</v>
          </cell>
          <cell r="L6">
            <v>9555500</v>
          </cell>
          <cell r="M6">
            <v>53406.6</v>
          </cell>
          <cell r="N6">
            <v>41751706.600000001</v>
          </cell>
          <cell r="P6">
            <v>407095241.39999998</v>
          </cell>
          <cell r="Q6">
            <v>137781871.30000001</v>
          </cell>
          <cell r="R6">
            <v>677932.23899999994</v>
          </cell>
          <cell r="S6">
            <v>545555044.93900001</v>
          </cell>
          <cell r="U6">
            <v>32262999</v>
          </cell>
          <cell r="V6">
            <v>9569915.5999999996</v>
          </cell>
          <cell r="W6">
            <v>53605.875</v>
          </cell>
          <cell r="X6">
            <v>41886520.475000001</v>
          </cell>
        </row>
        <row r="7">
          <cell r="A7" t="str">
            <v>CYCLIC HEMIACETALS</v>
          </cell>
          <cell r="F7">
            <v>0</v>
          </cell>
          <cell r="G7">
            <v>350704000000</v>
          </cell>
          <cell r="H7">
            <v>3656640000</v>
          </cell>
          <cell r="I7">
            <v>354360640000</v>
          </cell>
          <cell r="K7">
            <v>0</v>
          </cell>
          <cell r="L7">
            <v>37300600000</v>
          </cell>
          <cell r="M7">
            <v>299327000</v>
          </cell>
          <cell r="N7">
            <v>37599927000</v>
          </cell>
          <cell r="P7">
            <v>0</v>
          </cell>
          <cell r="Q7">
            <v>350710106840</v>
          </cell>
          <cell r="R7">
            <v>3656727341.6999998</v>
          </cell>
          <cell r="S7">
            <v>354366834181.70001</v>
          </cell>
          <cell r="U7">
            <v>0</v>
          </cell>
          <cell r="V7">
            <v>37314262000</v>
          </cell>
          <cell r="W7">
            <v>299511684</v>
          </cell>
          <cell r="X7">
            <v>37613773684</v>
          </cell>
        </row>
        <row r="8">
          <cell r="A8" t="str">
            <v>CARBONYL NITRATES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P8">
            <v>2643016391.0450001</v>
          </cell>
          <cell r="Q8">
            <v>363702270.63099998</v>
          </cell>
          <cell r="R8">
            <v>729362966.32959998</v>
          </cell>
          <cell r="S8">
            <v>3736081628.0056</v>
          </cell>
          <cell r="U8">
            <v>3249072983.9899998</v>
          </cell>
          <cell r="V8">
            <v>392839916.11900002</v>
          </cell>
          <cell r="W8">
            <v>989167997.24900007</v>
          </cell>
          <cell r="X8">
            <v>4631080897.3579998</v>
          </cell>
        </row>
        <row r="9">
          <cell r="A9" t="str">
            <v>CARBONYL</v>
          </cell>
          <cell r="F9">
            <v>198400</v>
          </cell>
          <cell r="G9">
            <v>441.59199999999998</v>
          </cell>
          <cell r="H9">
            <v>1047.81</v>
          </cell>
          <cell r="I9">
            <v>199889.402</v>
          </cell>
          <cell r="K9">
            <v>824553</v>
          </cell>
          <cell r="L9">
            <v>1611.42</v>
          </cell>
          <cell r="M9">
            <v>4379.5600000000004</v>
          </cell>
          <cell r="N9">
            <v>830543.9800000001</v>
          </cell>
          <cell r="P9">
            <v>198400</v>
          </cell>
          <cell r="Q9">
            <v>441.59199999999998</v>
          </cell>
          <cell r="R9">
            <v>1047.81</v>
          </cell>
          <cell r="S9">
            <v>199889.402</v>
          </cell>
          <cell r="U9">
            <v>824553</v>
          </cell>
          <cell r="V9">
            <v>1611.42</v>
          </cell>
          <cell r="W9">
            <v>4379.5600000000004</v>
          </cell>
          <cell r="X9">
            <v>830543.9800000001</v>
          </cell>
        </row>
        <row r="10">
          <cell r="A10" t="str">
            <v>DECOMPOSITION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P10">
            <v>53270375456.896362</v>
          </cell>
          <cell r="Q10">
            <v>34699856010.42791</v>
          </cell>
          <cell r="R10">
            <v>5720268383.5741968</v>
          </cell>
          <cell r="S10">
            <v>93690499850.898346</v>
          </cell>
          <cell r="U10">
            <v>306918979517.09595</v>
          </cell>
          <cell r="V10">
            <v>185435086404.97766</v>
          </cell>
          <cell r="W10">
            <v>56902952938.180687</v>
          </cell>
          <cell r="X10">
            <v>549257018860.25458</v>
          </cell>
        </row>
        <row r="11">
          <cell r="A11" t="str">
            <v>Higher_gen_C/10</v>
          </cell>
          <cell r="F11">
            <v>830740061507.96729</v>
          </cell>
          <cell r="G11">
            <v>2075659648067.5032</v>
          </cell>
          <cell r="H11">
            <v>149870174978.51471</v>
          </cell>
          <cell r="I11">
            <v>3056269884553.981</v>
          </cell>
          <cell r="K11">
            <v>2643151712645.686</v>
          </cell>
          <cell r="L11">
            <v>4936184560231.6953</v>
          </cell>
          <cell r="M11">
            <v>1087773486777.4064</v>
          </cell>
          <cell r="N11">
            <v>8667109759654.7881</v>
          </cell>
          <cell r="P11">
            <v>321105000000</v>
          </cell>
          <cell r="Q11">
            <v>0</v>
          </cell>
          <cell r="R11">
            <v>0</v>
          </cell>
          <cell r="S11">
            <v>321105000000</v>
          </cell>
          <cell r="U11">
            <v>917930000000</v>
          </cell>
          <cell r="V11">
            <v>0</v>
          </cell>
          <cell r="W11">
            <v>0</v>
          </cell>
          <cell r="X11">
            <v>917930000000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"/>
      <sheetName val="dictionary"/>
      <sheetName val="categor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3">
          <cell r="D13">
            <v>0.53760821428571426</v>
          </cell>
        </row>
        <row r="14">
          <cell r="D14">
            <v>0.72179086537438375</v>
          </cell>
        </row>
        <row r="15">
          <cell r="D15">
            <v>0.75104208306955922</v>
          </cell>
        </row>
        <row r="16">
          <cell r="D16">
            <v>0.86399963680180303</v>
          </cell>
        </row>
        <row r="17">
          <cell r="D17">
            <v>5.5342208662502911E-2</v>
          </cell>
        </row>
      </sheetData>
      <sheetData sheetId="6" refreshError="1"/>
      <sheetData sheetId="7" refreshError="1"/>
      <sheetData sheetId="8">
        <row r="4">
          <cell r="A4" t="str">
            <v>ISOMERISATION</v>
          </cell>
          <cell r="C4" t="str">
            <v>(gen 2+)</v>
          </cell>
          <cell r="F4">
            <v>347511892354.37</v>
          </cell>
          <cell r="G4">
            <v>4617587296571.8994</v>
          </cell>
          <cell r="H4">
            <v>66268196770.563919</v>
          </cell>
          <cell r="I4">
            <v>5031367385696.835</v>
          </cell>
          <cell r="K4">
            <v>237914345246.87</v>
          </cell>
          <cell r="L4">
            <v>1564627538719</v>
          </cell>
          <cell r="M4">
            <v>79589046607.176392</v>
          </cell>
          <cell r="N4">
            <v>1882130930573.0464</v>
          </cell>
          <cell r="P4">
            <v>800905667823.91724</v>
          </cell>
          <cell r="Q4">
            <v>6235496193007.2314</v>
          </cell>
          <cell r="R4">
            <v>200370152319.33282</v>
          </cell>
          <cell r="S4">
            <v>7236772013150.4824</v>
          </cell>
          <cell r="U4">
            <v>1482611926923.1699</v>
          </cell>
          <cell r="V4">
            <v>5306870862462.2461</v>
          </cell>
          <cell r="W4">
            <v>1049244925500.681</v>
          </cell>
          <cell r="X4">
            <v>7838727714886.0996</v>
          </cell>
        </row>
        <row r="5">
          <cell r="A5" t="str">
            <v>DINITRATES</v>
          </cell>
          <cell r="F5">
            <v>697632500000</v>
          </cell>
          <cell r="G5">
            <v>1478894600000</v>
          </cell>
          <cell r="H5">
            <v>450556390000</v>
          </cell>
          <cell r="I5">
            <v>2627083490000</v>
          </cell>
          <cell r="K5">
            <v>802686300000</v>
          </cell>
          <cell r="L5">
            <v>1424282300000</v>
          </cell>
          <cell r="M5">
            <v>761689700000</v>
          </cell>
          <cell r="N5">
            <v>2988658300000</v>
          </cell>
          <cell r="P5">
            <v>697632500000</v>
          </cell>
          <cell r="Q5">
            <v>1478894600000</v>
          </cell>
          <cell r="R5">
            <v>450556390000</v>
          </cell>
          <cell r="S5">
            <v>2627083490000</v>
          </cell>
          <cell r="U5">
            <v>802686300000</v>
          </cell>
          <cell r="V5">
            <v>1424282300000</v>
          </cell>
          <cell r="W5">
            <v>761689700000</v>
          </cell>
          <cell r="X5">
            <v>2988658300000</v>
          </cell>
        </row>
        <row r="6">
          <cell r="A6" t="str">
            <v>HYDROXY CARBONYLS</v>
          </cell>
          <cell r="F6">
            <v>1986370000</v>
          </cell>
          <cell r="G6">
            <v>235632000</v>
          </cell>
          <cell r="H6">
            <v>3302430</v>
          </cell>
          <cell r="I6">
            <v>2225304430</v>
          </cell>
          <cell r="K6">
            <v>162328000</v>
          </cell>
          <cell r="L6">
            <v>16119500</v>
          </cell>
          <cell r="M6">
            <v>269267</v>
          </cell>
          <cell r="N6">
            <v>178716767</v>
          </cell>
          <cell r="P6">
            <v>1986484307</v>
          </cell>
          <cell r="Q6">
            <v>235645559.59999999</v>
          </cell>
          <cell r="R6">
            <v>3302619.4939999999</v>
          </cell>
          <cell r="S6">
            <v>2225432486.0939999</v>
          </cell>
          <cell r="U6">
            <v>162485493</v>
          </cell>
          <cell r="V6">
            <v>16135139.4</v>
          </cell>
          <cell r="W6">
            <v>269528.10100000002</v>
          </cell>
          <cell r="X6">
            <v>178890160.50099999</v>
          </cell>
        </row>
        <row r="7">
          <cell r="A7" t="str">
            <v>CYCLIC HEMIACETALS</v>
          </cell>
          <cell r="F7">
            <v>0</v>
          </cell>
          <cell r="G7">
            <v>567070000000</v>
          </cell>
          <cell r="H7">
            <v>14824400000</v>
          </cell>
          <cell r="I7">
            <v>581894400000</v>
          </cell>
          <cell r="K7">
            <v>0</v>
          </cell>
          <cell r="L7">
            <v>61868600000</v>
          </cell>
          <cell r="M7">
            <v>1304260000</v>
          </cell>
          <cell r="N7">
            <v>63172860000</v>
          </cell>
          <cell r="P7">
            <v>0</v>
          </cell>
          <cell r="Q7">
            <v>567076295520</v>
          </cell>
          <cell r="R7">
            <v>14824502778</v>
          </cell>
          <cell r="S7">
            <v>581900798298</v>
          </cell>
          <cell r="U7">
            <v>0</v>
          </cell>
          <cell r="V7">
            <v>61883342400</v>
          </cell>
          <cell r="W7">
            <v>1304498584</v>
          </cell>
          <cell r="X7">
            <v>63187840984</v>
          </cell>
        </row>
        <row r="8">
          <cell r="A8" t="str">
            <v>CARBONYL NITRATES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P8">
            <v>4801169951.6199999</v>
          </cell>
          <cell r="Q8">
            <v>573286428.9612999</v>
          </cell>
          <cell r="R8">
            <v>1319535891.8642001</v>
          </cell>
          <cell r="S8">
            <v>6693992272.4455004</v>
          </cell>
          <cell r="U8">
            <v>6009407271.7200003</v>
          </cell>
          <cell r="V8">
            <v>600610137.51300001</v>
          </cell>
          <cell r="W8">
            <v>1827973902.2650001</v>
          </cell>
          <cell r="X8">
            <v>8437991311.4980001</v>
          </cell>
        </row>
        <row r="9">
          <cell r="A9" t="str">
            <v>CARBONYL</v>
          </cell>
          <cell r="F9">
            <v>956093</v>
          </cell>
          <cell r="G9">
            <v>744.34500000000003</v>
          </cell>
          <cell r="H9">
            <v>2041.08</v>
          </cell>
          <cell r="I9">
            <v>958878.42499999993</v>
          </cell>
          <cell r="K9">
            <v>4065210</v>
          </cell>
          <cell r="L9">
            <v>2649.06</v>
          </cell>
          <cell r="M9">
            <v>8698.7199999999993</v>
          </cell>
          <cell r="N9">
            <v>4076557.7800000003</v>
          </cell>
          <cell r="P9">
            <v>956093</v>
          </cell>
          <cell r="Q9">
            <v>744.34500000000003</v>
          </cell>
          <cell r="R9">
            <v>2041.08</v>
          </cell>
          <cell r="S9">
            <v>958878.42499999993</v>
          </cell>
          <cell r="U9">
            <v>4065210</v>
          </cell>
          <cell r="V9">
            <v>2649.06</v>
          </cell>
          <cell r="W9">
            <v>8698.7199999999993</v>
          </cell>
          <cell r="X9">
            <v>4076557.7800000003</v>
          </cell>
        </row>
        <row r="10">
          <cell r="A10" t="str">
            <v>DECOMPOSITION</v>
          </cell>
          <cell r="F10">
            <v>36665378823.099998</v>
          </cell>
          <cell r="G10">
            <v>9028701527.5</v>
          </cell>
          <cell r="H10">
            <v>548943494.15530002</v>
          </cell>
          <cell r="I10">
            <v>46243023844.755302</v>
          </cell>
          <cell r="K10">
            <v>34622684803.630005</v>
          </cell>
          <cell r="L10">
            <v>1061716061.2</v>
          </cell>
          <cell r="M10">
            <v>79695439.370810002</v>
          </cell>
          <cell r="N10">
            <v>35764096304.200813</v>
          </cell>
          <cell r="P10">
            <v>118173024773.19032</v>
          </cell>
          <cell r="Q10">
            <v>50432580209.019035</v>
          </cell>
          <cell r="R10">
            <v>9294362123.0357342</v>
          </cell>
          <cell r="S10">
            <v>177899967105.24518</v>
          </cell>
          <cell r="U10">
            <v>361886758206.5174</v>
          </cell>
          <cell r="V10">
            <v>145962492662.06555</v>
          </cell>
          <cell r="W10">
            <v>64868467867.362465</v>
          </cell>
          <cell r="X10">
            <v>572717718735.94507</v>
          </cell>
        </row>
        <row r="11">
          <cell r="A11" t="str">
            <v>Higher_gen_C/10</v>
          </cell>
          <cell r="F11">
            <v>956427642893.72815</v>
          </cell>
          <cell r="G11">
            <v>1660612827331.2063</v>
          </cell>
          <cell r="H11">
            <v>145062566086.68134</v>
          </cell>
          <cell r="I11">
            <v>2762103036311.6162</v>
          </cell>
          <cell r="K11">
            <v>2828375190716.6606</v>
          </cell>
          <cell r="L11">
            <v>3892120867695.9058</v>
          </cell>
          <cell r="M11">
            <v>1046611359697.9631</v>
          </cell>
          <cell r="N11">
            <v>7767107418110.5459</v>
          </cell>
          <cell r="P11">
            <v>358891000000</v>
          </cell>
          <cell r="Q11">
            <v>0</v>
          </cell>
          <cell r="R11">
            <v>0</v>
          </cell>
          <cell r="S11">
            <v>358891000000</v>
          </cell>
          <cell r="U11">
            <v>978960000000</v>
          </cell>
          <cell r="V11">
            <v>0</v>
          </cell>
          <cell r="W11">
            <v>0</v>
          </cell>
          <cell r="X11">
            <v>978960000000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"/>
      <sheetName val="dictionary"/>
      <sheetName val="categor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3">
          <cell r="D13">
            <v>0.48778491904761906</v>
          </cell>
        </row>
        <row r="14">
          <cell r="D14">
            <v>0.65680374145223497</v>
          </cell>
        </row>
        <row r="15">
          <cell r="D15">
            <v>0.68825180526984153</v>
          </cell>
        </row>
        <row r="16">
          <cell r="D16">
            <v>0.77196644347029653</v>
          </cell>
        </row>
        <row r="17">
          <cell r="D17">
            <v>6.2475203410136376E-2</v>
          </cell>
        </row>
      </sheetData>
      <sheetData sheetId="6" refreshError="1"/>
      <sheetData sheetId="7" refreshError="1"/>
      <sheetData sheetId="8">
        <row r="4">
          <cell r="A4" t="str">
            <v>ISOMERISATION</v>
          </cell>
          <cell r="C4" t="str">
            <v>(gen 2+)</v>
          </cell>
          <cell r="F4">
            <v>313966370823.79999</v>
          </cell>
          <cell r="G4">
            <v>3941568511590</v>
          </cell>
          <cell r="H4">
            <v>113710185983.77899</v>
          </cell>
          <cell r="I4">
            <v>4369245068397.5791</v>
          </cell>
          <cell r="K4">
            <v>274189346144.01999</v>
          </cell>
          <cell r="L4">
            <v>2556992014170</v>
          </cell>
          <cell r="M4">
            <v>277897910589.07489</v>
          </cell>
          <cell r="N4">
            <v>3109079270903.0952</v>
          </cell>
          <cell r="P4">
            <v>747651683304.62988</v>
          </cell>
          <cell r="Q4">
            <v>4845318742350.7793</v>
          </cell>
          <cell r="R4">
            <v>204175099476.97083</v>
          </cell>
          <cell r="S4">
            <v>5797145525132.376</v>
          </cell>
          <cell r="U4">
            <v>1415182618109.8613</v>
          </cell>
          <cell r="V4">
            <v>4530974928678.4785</v>
          </cell>
          <cell r="W4">
            <v>853497229060.16858</v>
          </cell>
          <cell r="X4">
            <v>6799654775848.5127</v>
          </cell>
        </row>
        <row r="5">
          <cell r="A5" t="str">
            <v>DINITRATES</v>
          </cell>
          <cell r="F5">
            <v>673298200000</v>
          </cell>
          <cell r="G5">
            <v>1194434300000</v>
          </cell>
          <cell r="H5">
            <v>435334300000</v>
          </cell>
          <cell r="I5">
            <v>2303066800000</v>
          </cell>
          <cell r="K5">
            <v>764169800000</v>
          </cell>
          <cell r="L5">
            <v>1155145300000</v>
          </cell>
          <cell r="M5">
            <v>725845300000</v>
          </cell>
          <cell r="N5">
            <v>2645160400000</v>
          </cell>
          <cell r="P5">
            <v>673298200000</v>
          </cell>
          <cell r="Q5">
            <v>1194434300000</v>
          </cell>
          <cell r="R5">
            <v>435334300000</v>
          </cell>
          <cell r="S5">
            <v>2303066800000</v>
          </cell>
          <cell r="U5">
            <v>764169800000</v>
          </cell>
          <cell r="V5">
            <v>1155145300000</v>
          </cell>
          <cell r="W5">
            <v>725845300000</v>
          </cell>
          <cell r="X5">
            <v>2645160400000</v>
          </cell>
        </row>
        <row r="6">
          <cell r="A6" t="str">
            <v>HYDROXY CARBONYLS</v>
          </cell>
          <cell r="F6">
            <v>3636516000</v>
          </cell>
          <cell r="G6">
            <v>361021700</v>
          </cell>
          <cell r="H6">
            <v>6045425</v>
          </cell>
          <cell r="I6">
            <v>4003583125</v>
          </cell>
          <cell r="K6">
            <v>297596500</v>
          </cell>
          <cell r="L6">
            <v>25177120</v>
          </cell>
          <cell r="M6">
            <v>493652.6</v>
          </cell>
          <cell r="N6">
            <v>323267272.60000002</v>
          </cell>
          <cell r="P6">
            <v>3636519818.6999998</v>
          </cell>
          <cell r="Q6">
            <v>361022639.73900002</v>
          </cell>
          <cell r="R6">
            <v>6045431.3412699997</v>
          </cell>
          <cell r="S6">
            <v>4003587889.7802701</v>
          </cell>
          <cell r="U6">
            <v>297601585.52999997</v>
          </cell>
          <cell r="V6">
            <v>25178186.670000002</v>
          </cell>
          <cell r="W6">
            <v>493661.04518999998</v>
          </cell>
          <cell r="X6">
            <v>323273433.24519002</v>
          </cell>
        </row>
        <row r="7">
          <cell r="A7" t="str">
            <v>CYCLIC HEMIACETALS</v>
          </cell>
          <cell r="F7">
            <v>0</v>
          </cell>
          <cell r="G7">
            <v>825368100000</v>
          </cell>
          <cell r="H7">
            <v>26055190000</v>
          </cell>
          <cell r="I7">
            <v>851423290000</v>
          </cell>
          <cell r="K7">
            <v>0</v>
          </cell>
          <cell r="L7">
            <v>93045700000</v>
          </cell>
          <cell r="M7">
            <v>2329287000</v>
          </cell>
          <cell r="N7">
            <v>95374987000</v>
          </cell>
          <cell r="P7">
            <v>0</v>
          </cell>
          <cell r="Q7">
            <v>825368538388</v>
          </cell>
          <cell r="R7">
            <v>26055193564.09</v>
          </cell>
          <cell r="S7">
            <v>851423731952.08997</v>
          </cell>
          <cell r="U7">
            <v>0</v>
          </cell>
          <cell r="V7">
            <v>93046708110</v>
          </cell>
          <cell r="W7">
            <v>2329294768.29</v>
          </cell>
          <cell r="X7">
            <v>95376002878.289993</v>
          </cell>
        </row>
        <row r="8">
          <cell r="A8" t="str">
            <v>CARBONYL NITRATES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P8">
            <v>11658707391.516001</v>
          </cell>
          <cell r="Q8">
            <v>1164983702.9760001</v>
          </cell>
          <cell r="R8">
            <v>3159435301.5320001</v>
          </cell>
          <cell r="S8">
            <v>15983126396.024</v>
          </cell>
          <cell r="U8">
            <v>14932818817.220001</v>
          </cell>
          <cell r="V8">
            <v>1271453580.7739999</v>
          </cell>
          <cell r="W8">
            <v>4541252224.8640003</v>
          </cell>
          <cell r="X8">
            <v>20745524622.858002</v>
          </cell>
        </row>
        <row r="9">
          <cell r="A9" t="str">
            <v>CARBONYL</v>
          </cell>
          <cell r="F9">
            <v>93105300000</v>
          </cell>
          <cell r="G9">
            <v>60659000</v>
          </cell>
          <cell r="H9">
            <v>199244000</v>
          </cell>
          <cell r="I9">
            <v>93365203000</v>
          </cell>
          <cell r="K9">
            <v>99227300000</v>
          </cell>
          <cell r="L9">
            <v>55085600</v>
          </cell>
          <cell r="M9">
            <v>212373000</v>
          </cell>
          <cell r="N9">
            <v>99494758600</v>
          </cell>
          <cell r="P9">
            <v>93105300000</v>
          </cell>
          <cell r="Q9">
            <v>60659000</v>
          </cell>
          <cell r="R9">
            <v>199244000</v>
          </cell>
          <cell r="S9">
            <v>93365203000</v>
          </cell>
          <cell r="U9">
            <v>99227300000</v>
          </cell>
          <cell r="V9">
            <v>55085600</v>
          </cell>
          <cell r="W9">
            <v>212373000</v>
          </cell>
          <cell r="X9">
            <v>99494758600</v>
          </cell>
        </row>
        <row r="10">
          <cell r="A10" t="str">
            <v>DECOMPOSITION</v>
          </cell>
          <cell r="F10">
            <v>79194389000</v>
          </cell>
          <cell r="G10">
            <v>21240805577.599998</v>
          </cell>
          <cell r="H10">
            <v>8135048342</v>
          </cell>
          <cell r="I10">
            <v>108570242919.60001</v>
          </cell>
          <cell r="K10">
            <v>73632757000</v>
          </cell>
          <cell r="L10">
            <v>4364311187.1000004</v>
          </cell>
          <cell r="M10">
            <v>1777526929</v>
          </cell>
          <cell r="N10">
            <v>79774595116.100006</v>
          </cell>
          <cell r="P10">
            <v>193530376825.01395</v>
          </cell>
          <cell r="Q10">
            <v>49743027024.036522</v>
          </cell>
          <cell r="R10">
            <v>19809827425.449306</v>
          </cell>
          <cell r="S10">
            <v>263083231274.49963</v>
          </cell>
          <cell r="U10">
            <v>355047188031.3241</v>
          </cell>
          <cell r="V10">
            <v>83210189813.342606</v>
          </cell>
          <cell r="W10">
            <v>48650732734.358276</v>
          </cell>
          <cell r="X10">
            <v>486908110579.02533</v>
          </cell>
        </row>
        <row r="11">
          <cell r="A11" t="str">
            <v>Higher_gen_C/10</v>
          </cell>
          <cell r="F11">
            <v>1058792893263.7399</v>
          </cell>
          <cell r="G11">
            <v>933518361690.29443</v>
          </cell>
          <cell r="H11">
            <v>105533927913.36023</v>
          </cell>
          <cell r="I11">
            <v>2097845182867.3948</v>
          </cell>
          <cell r="K11">
            <v>2581427909211.5063</v>
          </cell>
          <cell r="L11">
            <v>2054167806059.2959</v>
          </cell>
          <cell r="M11">
            <v>627199274742.64917</v>
          </cell>
          <cell r="N11">
            <v>5262794990013.4531</v>
          </cell>
          <cell r="P11">
            <v>358454000000</v>
          </cell>
          <cell r="Q11">
            <v>0</v>
          </cell>
          <cell r="R11">
            <v>0</v>
          </cell>
          <cell r="S11">
            <v>358454000000</v>
          </cell>
          <cell r="U11">
            <v>919142000000</v>
          </cell>
          <cell r="V11">
            <v>0</v>
          </cell>
          <cell r="W11">
            <v>0</v>
          </cell>
          <cell r="X11">
            <v>919142000000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RO fates"/>
      <sheetName val="dictionary"/>
      <sheetName val="pathway analysis"/>
      <sheetName val="funct_vs_site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D14">
            <v>0.64303929422217865</v>
          </cell>
        </row>
        <row r="15">
          <cell r="D15">
            <v>0.67112917826516261</v>
          </cell>
        </row>
        <row r="16">
          <cell r="D16">
            <v>0.7712785188877449</v>
          </cell>
        </row>
        <row r="17">
          <cell r="D17">
            <v>5.6353675675843422E-2</v>
          </cell>
        </row>
      </sheetData>
      <sheetData sheetId="7"/>
      <sheetData sheetId="8"/>
      <sheetData sheetId="9">
        <row r="4">
          <cell r="A4" t="str">
            <v>ISOM</v>
          </cell>
          <cell r="B4"/>
          <cell r="D4">
            <v>286650207440</v>
          </cell>
          <cell r="E4">
            <v>1951806121520</v>
          </cell>
          <cell r="F4">
            <v>23227276953.740002</v>
          </cell>
          <cell r="G4">
            <v>2261683605913.7402</v>
          </cell>
          <cell r="H4"/>
          <cell r="I4">
            <v>297679448655.29999</v>
          </cell>
          <cell r="J4">
            <v>5849102044000</v>
          </cell>
          <cell r="K4">
            <v>639422043634</v>
          </cell>
          <cell r="L4">
            <v>6786203536289.2998</v>
          </cell>
        </row>
        <row r="5">
          <cell r="A5" t="str">
            <v>DINITR</v>
          </cell>
          <cell r="B5"/>
          <cell r="D5">
            <v>567983000000</v>
          </cell>
          <cell r="E5">
            <v>363486830000</v>
          </cell>
          <cell r="F5">
            <v>35858193000</v>
          </cell>
          <cell r="G5">
            <v>967328023000</v>
          </cell>
          <cell r="H5"/>
          <cell r="I5">
            <v>729202200000</v>
          </cell>
          <cell r="J5">
            <v>1347113400000</v>
          </cell>
          <cell r="K5">
            <v>698478100000</v>
          </cell>
          <cell r="L5">
            <v>2774793700000</v>
          </cell>
        </row>
        <row r="6">
          <cell r="A6" t="str">
            <v>HYDROXY-CARBONYL</v>
          </cell>
          <cell r="B6"/>
          <cell r="D6">
            <v>282318000000</v>
          </cell>
          <cell r="E6">
            <v>10123100000</v>
          </cell>
          <cell r="F6">
            <v>15766300000</v>
          </cell>
          <cell r="G6">
            <v>308207400000</v>
          </cell>
          <cell r="H6"/>
          <cell r="I6">
            <v>390593000000</v>
          </cell>
          <cell r="J6">
            <v>40426600000</v>
          </cell>
          <cell r="K6">
            <v>118856000000</v>
          </cell>
          <cell r="L6">
            <v>549875600000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H7"/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48359500000</v>
          </cell>
          <cell r="E8">
            <v>11366000</v>
          </cell>
          <cell r="F8">
            <v>102142000</v>
          </cell>
          <cell r="G8">
            <v>48473008000</v>
          </cell>
          <cell r="H8"/>
          <cell r="I8">
            <v>97849700000</v>
          </cell>
          <cell r="J8">
            <v>66387500</v>
          </cell>
          <cell r="K8">
            <v>209428000</v>
          </cell>
          <cell r="L8">
            <v>98125515500</v>
          </cell>
        </row>
        <row r="9">
          <cell r="A9" t="str">
            <v>DECOMP</v>
          </cell>
          <cell r="B9"/>
          <cell r="D9">
            <v>137947469300</v>
          </cell>
          <cell r="E9">
            <v>419862040.5</v>
          </cell>
          <cell r="F9">
            <v>488709502.60000002</v>
          </cell>
          <cell r="G9">
            <v>138856040843.10001</v>
          </cell>
          <cell r="H9"/>
          <cell r="I9">
            <v>181457359200</v>
          </cell>
          <cell r="J9">
            <v>1098115668.2</v>
          </cell>
          <cell r="K9">
            <v>1056600093</v>
          </cell>
          <cell r="L9">
            <v>183612074961.20001</v>
          </cell>
        </row>
        <row r="10">
          <cell r="C10"/>
        </row>
        <row r="13">
          <cell r="B13" t="str">
            <v>site</v>
          </cell>
          <cell r="G13" t="str">
            <v>total</v>
          </cell>
          <cell r="O13" t="str">
            <v>TYPE</v>
          </cell>
        </row>
        <row r="14">
          <cell r="B14" t="str">
            <v>N</v>
          </cell>
          <cell r="G14">
            <v>30305298570</v>
          </cell>
          <cell r="O14" t="str">
            <v>DCMP</v>
          </cell>
        </row>
        <row r="15">
          <cell r="B15" t="str">
            <v>N</v>
          </cell>
          <cell r="G15">
            <v>21629881690</v>
          </cell>
          <cell r="O15" t="str">
            <v>DCMP</v>
          </cell>
        </row>
        <row r="16">
          <cell r="B16">
            <v>7</v>
          </cell>
          <cell r="G16">
            <v>7923319800</v>
          </cell>
          <cell r="O16" t="str">
            <v>DCMP</v>
          </cell>
        </row>
        <row r="17">
          <cell r="B17">
            <v>10</v>
          </cell>
          <cell r="G17">
            <v>146373150</v>
          </cell>
          <cell r="O17" t="str">
            <v>DCMP</v>
          </cell>
        </row>
        <row r="18">
          <cell r="B18">
            <v>2</v>
          </cell>
          <cell r="G18">
            <v>4359614300</v>
          </cell>
          <cell r="O18" t="str">
            <v>DCMP</v>
          </cell>
        </row>
        <row r="19">
          <cell r="B19">
            <v>5</v>
          </cell>
          <cell r="G19">
            <v>420944300</v>
          </cell>
          <cell r="O19" t="str">
            <v>DCMP</v>
          </cell>
        </row>
        <row r="20">
          <cell r="B20">
            <v>3</v>
          </cell>
          <cell r="G20">
            <v>48473008000</v>
          </cell>
          <cell r="O20" t="str">
            <v>C</v>
          </cell>
        </row>
        <row r="21">
          <cell r="B21" t="str">
            <v>N</v>
          </cell>
          <cell r="G21">
            <v>308207400000</v>
          </cell>
          <cell r="O21" t="str">
            <v>HC</v>
          </cell>
        </row>
        <row r="22">
          <cell r="B22" t="str">
            <v>N</v>
          </cell>
          <cell r="G22">
            <v>43089813000</v>
          </cell>
          <cell r="O22" t="str">
            <v>HHC</v>
          </cell>
        </row>
        <row r="23">
          <cell r="B23" t="str">
            <v>N</v>
          </cell>
          <cell r="G23">
            <v>53791532</v>
          </cell>
          <cell r="O23" t="str">
            <v>HHC</v>
          </cell>
        </row>
        <row r="24">
          <cell r="B24">
            <v>10</v>
          </cell>
          <cell r="G24">
            <v>47407119000</v>
          </cell>
          <cell r="O24" t="str">
            <v>HCN</v>
          </cell>
        </row>
        <row r="25">
          <cell r="B25">
            <v>1</v>
          </cell>
          <cell r="G25">
            <v>43836742000</v>
          </cell>
          <cell r="O25" t="str">
            <v>HCN</v>
          </cell>
        </row>
        <row r="26">
          <cell r="B26">
            <v>9</v>
          </cell>
          <cell r="G26">
            <v>280876730000</v>
          </cell>
          <cell r="O26" t="str">
            <v>HCN</v>
          </cell>
        </row>
        <row r="27">
          <cell r="B27">
            <v>8</v>
          </cell>
          <cell r="G27">
            <v>422963210000</v>
          </cell>
          <cell r="O27" t="str">
            <v>HCN</v>
          </cell>
        </row>
        <row r="28">
          <cell r="B28">
            <v>7</v>
          </cell>
          <cell r="G28">
            <v>400322250000</v>
          </cell>
          <cell r="O28" t="str">
            <v>HCN</v>
          </cell>
        </row>
        <row r="29">
          <cell r="B29">
            <v>7</v>
          </cell>
          <cell r="G29">
            <v>39967850000</v>
          </cell>
          <cell r="O29" t="str">
            <v>HCN</v>
          </cell>
        </row>
        <row r="30">
          <cell r="B30">
            <v>6</v>
          </cell>
          <cell r="G30">
            <v>101829150000</v>
          </cell>
          <cell r="O30" t="str">
            <v>HCN</v>
          </cell>
        </row>
        <row r="31">
          <cell r="B31">
            <v>5</v>
          </cell>
          <cell r="G31">
            <v>220874040000</v>
          </cell>
          <cell r="O31" t="str">
            <v>HCN</v>
          </cell>
        </row>
        <row r="32">
          <cell r="B32">
            <v>5</v>
          </cell>
          <cell r="G32">
            <v>220401590000</v>
          </cell>
          <cell r="O32" t="str">
            <v>HCN</v>
          </cell>
        </row>
        <row r="33">
          <cell r="B33">
            <v>4</v>
          </cell>
          <cell r="G33">
            <v>48744113000</v>
          </cell>
          <cell r="O33" t="str">
            <v>HCN</v>
          </cell>
        </row>
        <row r="34">
          <cell r="B34">
            <v>4</v>
          </cell>
          <cell r="G34">
            <v>4879818100</v>
          </cell>
          <cell r="O34" t="str">
            <v>HCN</v>
          </cell>
        </row>
        <row r="35">
          <cell r="B35">
            <v>2</v>
          </cell>
          <cell r="G35">
            <v>36580833000</v>
          </cell>
          <cell r="O35" t="str">
            <v>HCN</v>
          </cell>
        </row>
        <row r="36">
          <cell r="B36">
            <v>10</v>
          </cell>
          <cell r="G36">
            <v>6774583170</v>
          </cell>
          <cell r="O36" t="str">
            <v>HHCN</v>
          </cell>
        </row>
        <row r="37">
          <cell r="B37" t="str">
            <v>8,2</v>
          </cell>
          <cell r="G37">
            <v>19249676700</v>
          </cell>
          <cell r="O37" t="str">
            <v>HHCN</v>
          </cell>
        </row>
        <row r="38">
          <cell r="B38">
            <v>1</v>
          </cell>
          <cell r="G38">
            <v>6380462650</v>
          </cell>
          <cell r="O38" t="str">
            <v>HHCN</v>
          </cell>
        </row>
        <row r="39">
          <cell r="B39">
            <v>10</v>
          </cell>
          <cell r="G39">
            <v>22291295000</v>
          </cell>
          <cell r="O39" t="str">
            <v>NN</v>
          </cell>
        </row>
        <row r="40">
          <cell r="B40">
            <v>9</v>
          </cell>
          <cell r="G40">
            <v>133411620000</v>
          </cell>
          <cell r="O40" t="str">
            <v>NN</v>
          </cell>
        </row>
        <row r="41">
          <cell r="B41">
            <v>8</v>
          </cell>
          <cell r="G41">
            <v>181884350000</v>
          </cell>
          <cell r="O41" t="str">
            <v>NN</v>
          </cell>
        </row>
        <row r="42">
          <cell r="B42">
            <v>7</v>
          </cell>
          <cell r="G42">
            <v>182403630000</v>
          </cell>
          <cell r="O42" t="str">
            <v>NN</v>
          </cell>
        </row>
        <row r="43">
          <cell r="B43">
            <v>6</v>
          </cell>
          <cell r="G43">
            <v>182403630000</v>
          </cell>
          <cell r="O43" t="str">
            <v>NN</v>
          </cell>
        </row>
        <row r="44">
          <cell r="B44">
            <v>3</v>
          </cell>
          <cell r="G44">
            <v>180805470000</v>
          </cell>
          <cell r="O44" t="str">
            <v>NN</v>
          </cell>
        </row>
        <row r="45">
          <cell r="B45">
            <v>4</v>
          </cell>
          <cell r="G45">
            <v>35749350000</v>
          </cell>
          <cell r="O45" t="str">
            <v>NN</v>
          </cell>
        </row>
        <row r="46">
          <cell r="B46">
            <v>2</v>
          </cell>
          <cell r="G46">
            <v>26218313000</v>
          </cell>
          <cell r="O46" t="str">
            <v>NN</v>
          </cell>
        </row>
        <row r="47">
          <cell r="B47">
            <v>1</v>
          </cell>
          <cell r="G47">
            <v>22160365000</v>
          </cell>
          <cell r="O47" t="str">
            <v>NN</v>
          </cell>
        </row>
        <row r="48">
          <cell r="B48">
            <v>10</v>
          </cell>
          <cell r="G48">
            <v>8855622170</v>
          </cell>
          <cell r="O48" t="str">
            <v>HNN</v>
          </cell>
        </row>
      </sheetData>
      <sheetData sheetId="10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"/>
      <sheetName val="dictionary"/>
      <sheetName val="categor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3">
          <cell r="D13">
            <v>0.48614153809523808</v>
          </cell>
        </row>
        <row r="14">
          <cell r="D14">
            <v>0.62526886748340038</v>
          </cell>
        </row>
        <row r="15">
          <cell r="D15">
            <v>0.65492085155148261</v>
          </cell>
        </row>
        <row r="16">
          <cell r="D16">
            <v>0.716177108946771</v>
          </cell>
        </row>
        <row r="17">
          <cell r="D17">
            <v>6.2794430316421401E-2</v>
          </cell>
        </row>
      </sheetData>
      <sheetData sheetId="6" refreshError="1"/>
      <sheetData sheetId="7" refreshError="1"/>
      <sheetData sheetId="8">
        <row r="4">
          <cell r="A4" t="str">
            <v>ISOMERISATION</v>
          </cell>
          <cell r="C4" t="str">
            <v>(gen 2+)</v>
          </cell>
          <cell r="F4">
            <v>328795591975.5</v>
          </cell>
          <cell r="G4">
            <v>3490145530150</v>
          </cell>
          <cell r="H4">
            <v>140297090646.23251</v>
          </cell>
          <cell r="I4">
            <v>3959238212771.7319</v>
          </cell>
          <cell r="K4">
            <v>319434096399.67004</v>
          </cell>
          <cell r="L4">
            <v>2943564189487</v>
          </cell>
          <cell r="M4">
            <v>391056086179.3537</v>
          </cell>
          <cell r="N4">
            <v>3654054372066.0234</v>
          </cell>
          <cell r="P4">
            <v>851455041938.21814</v>
          </cell>
          <cell r="Q4">
            <v>4076772162130.252</v>
          </cell>
          <cell r="R4">
            <v>208917127927.27521</v>
          </cell>
          <cell r="S4">
            <v>5137144331995.7451</v>
          </cell>
          <cell r="U4">
            <v>1668939045452.2261</v>
          </cell>
          <cell r="V4">
            <v>4070534816003.917</v>
          </cell>
          <cell r="W4">
            <v>751176725643.46179</v>
          </cell>
          <cell r="X4">
            <v>6490650587099.5918</v>
          </cell>
        </row>
        <row r="5">
          <cell r="A5" t="str">
            <v>DINITRATES</v>
          </cell>
          <cell r="F5">
            <v>681784900000</v>
          </cell>
          <cell r="G5">
            <v>1149594500000</v>
          </cell>
          <cell r="H5">
            <v>440645300000</v>
          </cell>
          <cell r="I5">
            <v>2272024700000</v>
          </cell>
          <cell r="K5">
            <v>782391300000</v>
          </cell>
          <cell r="L5">
            <v>1084823300000</v>
          </cell>
          <cell r="M5">
            <v>742207700000</v>
          </cell>
          <cell r="N5">
            <v>2609422300000</v>
          </cell>
          <cell r="P5">
            <v>681784900000</v>
          </cell>
          <cell r="Q5">
            <v>1149594500000</v>
          </cell>
          <cell r="R5">
            <v>440645300000</v>
          </cell>
          <cell r="S5">
            <v>2272024700000</v>
          </cell>
          <cell r="U5">
            <v>782391300000</v>
          </cell>
          <cell r="V5">
            <v>1084823300000</v>
          </cell>
          <cell r="W5">
            <v>742207700000</v>
          </cell>
          <cell r="X5">
            <v>2609422300000</v>
          </cell>
        </row>
        <row r="6">
          <cell r="A6" t="str">
            <v>HYDROXY CARBONYLS</v>
          </cell>
          <cell r="F6">
            <v>6004510000</v>
          </cell>
          <cell r="G6">
            <v>566591000</v>
          </cell>
          <cell r="H6">
            <v>9982250</v>
          </cell>
          <cell r="I6">
            <v>6581083250</v>
          </cell>
          <cell r="K6">
            <v>503500000</v>
          </cell>
          <cell r="L6">
            <v>39073000</v>
          </cell>
          <cell r="M6">
            <v>835205</v>
          </cell>
          <cell r="N6">
            <v>543408205</v>
          </cell>
          <cell r="P6">
            <v>6004731690.6000004</v>
          </cell>
          <cell r="Q6">
            <v>566611918.75</v>
          </cell>
          <cell r="R6">
            <v>9982617.5130000003</v>
          </cell>
          <cell r="S6">
            <v>6581326226.8629999</v>
          </cell>
          <cell r="U6">
            <v>503810322</v>
          </cell>
          <cell r="V6">
            <v>39097081.799999997</v>
          </cell>
          <cell r="W6">
            <v>835719.47</v>
          </cell>
          <cell r="X6">
            <v>543743123.26999998</v>
          </cell>
        </row>
        <row r="7">
          <cell r="A7" t="str">
            <v>CYCLIC HEMIACETALS</v>
          </cell>
          <cell r="F7">
            <v>0</v>
          </cell>
          <cell r="G7">
            <v>1293416000000</v>
          </cell>
          <cell r="H7">
            <v>43960800000</v>
          </cell>
          <cell r="I7">
            <v>1337376800000</v>
          </cell>
          <cell r="K7">
            <v>0</v>
          </cell>
          <cell r="L7">
            <v>145537200000</v>
          </cell>
          <cell r="M7">
            <v>3925010000</v>
          </cell>
          <cell r="N7">
            <v>149462210000</v>
          </cell>
          <cell r="P7">
            <v>0</v>
          </cell>
          <cell r="Q7">
            <v>1293425622120</v>
          </cell>
          <cell r="R7">
            <v>43960999808.300003</v>
          </cell>
          <cell r="S7">
            <v>1337386621928.3</v>
          </cell>
          <cell r="U7">
            <v>0</v>
          </cell>
          <cell r="V7">
            <v>145559886550</v>
          </cell>
          <cell r="W7">
            <v>3925478105</v>
          </cell>
          <cell r="X7">
            <v>149485364655</v>
          </cell>
        </row>
        <row r="8">
          <cell r="A8" t="str">
            <v>CARBONYL NITRATES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P8">
            <v>11648011419.698</v>
          </cell>
          <cell r="Q8">
            <v>1106278685.9988</v>
          </cell>
          <cell r="R8">
            <v>3156999705.0318003</v>
          </cell>
          <cell r="S8">
            <v>15911289810.7286</v>
          </cell>
          <cell r="U8">
            <v>14945508223.68</v>
          </cell>
          <cell r="V8">
            <v>1167231498.0100002</v>
          </cell>
          <cell r="W8">
            <v>4544715931.4399996</v>
          </cell>
          <cell r="X8">
            <v>20657455653.129997</v>
          </cell>
        </row>
        <row r="9">
          <cell r="A9" t="str">
            <v>CARBONYL</v>
          </cell>
          <cell r="F9">
            <v>92991100000</v>
          </cell>
          <cell r="G9">
            <v>57584200</v>
          </cell>
          <cell r="H9">
            <v>198998000</v>
          </cell>
          <cell r="I9">
            <v>93247682200</v>
          </cell>
          <cell r="K9">
            <v>99158900000</v>
          </cell>
          <cell r="L9">
            <v>50492300</v>
          </cell>
          <cell r="M9">
            <v>212227000</v>
          </cell>
          <cell r="N9">
            <v>99421619300</v>
          </cell>
          <cell r="P9">
            <v>92991100000</v>
          </cell>
          <cell r="Q9">
            <v>57584200</v>
          </cell>
          <cell r="R9">
            <v>198998000</v>
          </cell>
          <cell r="S9">
            <v>93247682200</v>
          </cell>
          <cell r="U9">
            <v>99158900000</v>
          </cell>
          <cell r="V9">
            <v>50492300</v>
          </cell>
          <cell r="W9">
            <v>212227000</v>
          </cell>
          <cell r="X9">
            <v>99421619300</v>
          </cell>
        </row>
        <row r="10">
          <cell r="A10" t="str">
            <v>DECOMPOSITION</v>
          </cell>
          <cell r="F10">
            <v>77769325500</v>
          </cell>
          <cell r="G10">
            <v>12071844949.700001</v>
          </cell>
          <cell r="H10">
            <v>10684807039.1</v>
          </cell>
          <cell r="I10">
            <v>100525977488.8</v>
          </cell>
          <cell r="K10">
            <v>82673499000</v>
          </cell>
          <cell r="L10">
            <v>3364117745.9000001</v>
          </cell>
          <cell r="M10">
            <v>3035069667.5</v>
          </cell>
          <cell r="N10">
            <v>89072686413.399994</v>
          </cell>
          <cell r="P10">
            <v>226327694518.37982</v>
          </cell>
          <cell r="Q10">
            <v>28183600628.074997</v>
          </cell>
          <cell r="R10">
            <v>17111450736.52739</v>
          </cell>
          <cell r="S10">
            <v>271622745882.98218</v>
          </cell>
          <cell r="U10">
            <v>383335091217.23224</v>
          </cell>
          <cell r="V10">
            <v>47414554145.743805</v>
          </cell>
          <cell r="W10">
            <v>28881145626.139046</v>
          </cell>
          <cell r="X10">
            <v>459630790989.11499</v>
          </cell>
        </row>
        <row r="11">
          <cell r="A11" t="str">
            <v>Higher_gen_C/10</v>
          </cell>
          <cell r="F11">
            <v>1305244825164.8955</v>
          </cell>
          <cell r="G11">
            <v>604113990031.90234</v>
          </cell>
          <cell r="H11">
            <v>78910555200.153641</v>
          </cell>
          <cell r="I11">
            <v>1988269370396.9509</v>
          </cell>
          <cell r="K11">
            <v>3039444397261.4087</v>
          </cell>
          <cell r="L11">
            <v>1172396198575.8474</v>
          </cell>
          <cell r="M11">
            <v>391107685328.72437</v>
          </cell>
          <cell r="N11">
            <v>4602948281165.9844</v>
          </cell>
          <cell r="P11">
            <v>430472000000</v>
          </cell>
          <cell r="Q11">
            <v>0</v>
          </cell>
          <cell r="R11">
            <v>0</v>
          </cell>
          <cell r="S11">
            <v>430472000000</v>
          </cell>
          <cell r="U11">
            <v>1085410000000</v>
          </cell>
          <cell r="V11">
            <v>0</v>
          </cell>
          <cell r="W11">
            <v>0</v>
          </cell>
          <cell r="X11">
            <v>1085410000000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ionary"/>
      <sheetName val="pathway analysis"/>
      <sheetName val="funct_vs_site"/>
    </sheetNames>
    <sheetDataSet>
      <sheetData sheetId="0"/>
      <sheetData sheetId="1"/>
      <sheetData sheetId="2"/>
      <sheetData sheetId="3"/>
      <sheetData sheetId="4"/>
      <sheetData sheetId="5">
        <row r="14">
          <cell r="D14">
            <v>0.64450936081868127</v>
          </cell>
        </row>
        <row r="15">
          <cell r="D15">
            <v>0.67558296232922055</v>
          </cell>
        </row>
        <row r="16">
          <cell r="D16">
            <v>0.77261742131232602</v>
          </cell>
        </row>
        <row r="17">
          <cell r="D17">
            <v>6.157270436841996E-2</v>
          </cell>
        </row>
      </sheetData>
      <sheetData sheetId="6"/>
      <sheetData sheetId="7">
        <row r="4">
          <cell r="A4" t="str">
            <v>ISOM</v>
          </cell>
          <cell r="B4"/>
          <cell r="D4">
            <v>279191019916</v>
          </cell>
          <cell r="E4">
            <v>1575327104876</v>
          </cell>
          <cell r="F4">
            <v>23818824573.799999</v>
          </cell>
          <cell r="G4">
            <v>1878336949365.8</v>
          </cell>
          <cell r="H4"/>
          <cell r="I4">
            <v>288751387949.5</v>
          </cell>
          <cell r="J4">
            <v>5380514750900</v>
          </cell>
          <cell r="K4">
            <v>620755984690</v>
          </cell>
          <cell r="L4">
            <v>6290022123539.5</v>
          </cell>
        </row>
        <row r="5">
          <cell r="A5" t="str">
            <v>DINITR</v>
          </cell>
          <cell r="B5"/>
          <cell r="D5">
            <v>554292000000</v>
          </cell>
          <cell r="E5">
            <v>295066080000</v>
          </cell>
          <cell r="F5">
            <v>36757966000</v>
          </cell>
          <cell r="G5">
            <v>886116046000</v>
          </cell>
          <cell r="H5"/>
          <cell r="I5">
            <v>793523800000</v>
          </cell>
          <cell r="J5">
            <v>1401369200000</v>
          </cell>
          <cell r="K5">
            <v>760957200000</v>
          </cell>
          <cell r="L5">
            <v>2955850200000</v>
          </cell>
        </row>
        <row r="6">
          <cell r="A6" t="str">
            <v>HYDROXY-CARBONYL</v>
          </cell>
          <cell r="B6"/>
          <cell r="D6">
            <v>480230600000</v>
          </cell>
          <cell r="E6">
            <v>14324070000</v>
          </cell>
          <cell r="F6">
            <v>26518170000</v>
          </cell>
          <cell r="G6">
            <v>521072840000</v>
          </cell>
          <cell r="H6"/>
          <cell r="I6">
            <v>1181758000000</v>
          </cell>
          <cell r="J6">
            <v>116923800000</v>
          </cell>
          <cell r="K6">
            <v>359597300000</v>
          </cell>
          <cell r="L6">
            <v>1658279100000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H7"/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49511400000</v>
          </cell>
          <cell r="E8">
            <v>9680390</v>
          </cell>
          <cell r="F8">
            <v>104444000</v>
          </cell>
          <cell r="G8">
            <v>49625524390</v>
          </cell>
          <cell r="H8"/>
          <cell r="I8">
            <v>149951000000</v>
          </cell>
          <cell r="J8">
            <v>97253600</v>
          </cell>
          <cell r="K8">
            <v>320940000</v>
          </cell>
          <cell r="L8">
            <v>150369193600</v>
          </cell>
        </row>
        <row r="9">
          <cell r="A9" t="str">
            <v>DECOMP</v>
          </cell>
          <cell r="B9"/>
          <cell r="D9">
            <v>179466273000</v>
          </cell>
          <cell r="E9">
            <v>184791266.69999999</v>
          </cell>
          <cell r="F9">
            <v>413497441</v>
          </cell>
          <cell r="G9">
            <v>180064561707.70001</v>
          </cell>
          <cell r="H9"/>
          <cell r="I9">
            <v>518478864000</v>
          </cell>
          <cell r="J9">
            <v>1091473282</v>
          </cell>
          <cell r="K9">
            <v>1815212053</v>
          </cell>
          <cell r="L9">
            <v>521385549335</v>
          </cell>
        </row>
        <row r="10">
          <cell r="C10"/>
        </row>
        <row r="13">
          <cell r="B13" t="str">
            <v>site</v>
          </cell>
          <cell r="G13" t="str">
            <v>total</v>
          </cell>
          <cell r="O13" t="str">
            <v>TYPE</v>
          </cell>
        </row>
        <row r="14">
          <cell r="B14" t="str">
            <v>N</v>
          </cell>
          <cell r="G14">
            <v>59541540000</v>
          </cell>
          <cell r="O14" t="str">
            <v>HC</v>
          </cell>
        </row>
        <row r="15">
          <cell r="B15">
            <v>3</v>
          </cell>
          <cell r="G15">
            <v>21651383000</v>
          </cell>
          <cell r="O15" t="str">
            <v>NN</v>
          </cell>
        </row>
        <row r="16">
          <cell r="B16">
            <v>8</v>
          </cell>
          <cell r="G16">
            <v>291411470000</v>
          </cell>
          <cell r="O16" t="str">
            <v>HCN</v>
          </cell>
        </row>
        <row r="17">
          <cell r="B17">
            <v>7</v>
          </cell>
          <cell r="G17">
            <v>1802796525</v>
          </cell>
          <cell r="O17" t="str">
            <v>HHNN</v>
          </cell>
        </row>
        <row r="18">
          <cell r="B18">
            <v>8</v>
          </cell>
          <cell r="G18">
            <v>47666230600</v>
          </cell>
          <cell r="O18" t="str">
            <v>HNN</v>
          </cell>
        </row>
        <row r="19">
          <cell r="B19">
            <v>8</v>
          </cell>
          <cell r="G19">
            <v>127911750000</v>
          </cell>
          <cell r="O19" t="str">
            <v>NN</v>
          </cell>
        </row>
        <row r="20">
          <cell r="B20" t="str">
            <v>5,2</v>
          </cell>
          <cell r="G20">
            <v>38492457232</v>
          </cell>
          <cell r="O20" t="str">
            <v>DCMP</v>
          </cell>
        </row>
        <row r="21">
          <cell r="B21">
            <v>6</v>
          </cell>
          <cell r="G21">
            <v>47706060000</v>
          </cell>
          <cell r="O21" t="str">
            <v>HCN</v>
          </cell>
        </row>
        <row r="22">
          <cell r="B22">
            <v>1</v>
          </cell>
          <cell r="G22">
            <v>295129767.19999999</v>
          </cell>
          <cell r="O22" t="str">
            <v>HHNN</v>
          </cell>
        </row>
        <row r="23">
          <cell r="B23">
            <v>5</v>
          </cell>
          <cell r="G23">
            <v>7565090310</v>
          </cell>
          <cell r="O23" t="str">
            <v>HNN</v>
          </cell>
        </row>
        <row r="24">
          <cell r="B24">
            <v>6</v>
          </cell>
          <cell r="G24">
            <v>34528830000</v>
          </cell>
          <cell r="O24" t="str">
            <v>NN</v>
          </cell>
        </row>
        <row r="25">
          <cell r="B25" t="str">
            <v>N</v>
          </cell>
          <cell r="G25">
            <v>49625524390</v>
          </cell>
          <cell r="O25" t="str">
            <v>C</v>
          </cell>
        </row>
        <row r="26">
          <cell r="B26">
            <v>5</v>
          </cell>
          <cell r="G26">
            <v>31455852000</v>
          </cell>
          <cell r="O26" t="str">
            <v>HCN</v>
          </cell>
        </row>
        <row r="27">
          <cell r="B27">
            <v>5</v>
          </cell>
          <cell r="G27">
            <v>31455852000</v>
          </cell>
          <cell r="O27" t="str">
            <v>HCN</v>
          </cell>
        </row>
        <row r="28">
          <cell r="B28">
            <v>5</v>
          </cell>
          <cell r="G28">
            <v>4764088340</v>
          </cell>
          <cell r="O28" t="str">
            <v>HNN</v>
          </cell>
        </row>
        <row r="29">
          <cell r="B29">
            <v>3</v>
          </cell>
          <cell r="G29">
            <v>4764088340</v>
          </cell>
          <cell r="O29" t="str">
            <v>HNN</v>
          </cell>
        </row>
        <row r="30">
          <cell r="B30">
            <v>7</v>
          </cell>
          <cell r="G30">
            <v>34528830000</v>
          </cell>
          <cell r="O30" t="str">
            <v>NN</v>
          </cell>
        </row>
        <row r="31">
          <cell r="B31">
            <v>7</v>
          </cell>
          <cell r="G31">
            <v>212394020000</v>
          </cell>
          <cell r="O31" t="str">
            <v>HCN</v>
          </cell>
        </row>
        <row r="32">
          <cell r="B32">
            <v>6</v>
          </cell>
          <cell r="G32">
            <v>205616170000</v>
          </cell>
          <cell r="O32" t="str">
            <v>HCN</v>
          </cell>
        </row>
        <row r="33">
          <cell r="B33">
            <v>7</v>
          </cell>
          <cell r="G33">
            <v>32167813500</v>
          </cell>
          <cell r="O33" t="str">
            <v>HNN</v>
          </cell>
        </row>
        <row r="34">
          <cell r="B34">
            <v>6</v>
          </cell>
          <cell r="G34">
            <v>32167813500</v>
          </cell>
          <cell r="O34" t="str">
            <v>HNN</v>
          </cell>
        </row>
        <row r="35">
          <cell r="B35">
            <v>10</v>
          </cell>
          <cell r="G35">
            <v>172644040000</v>
          </cell>
          <cell r="O35" t="str">
            <v>NN</v>
          </cell>
        </row>
        <row r="36">
          <cell r="B36">
            <v>7</v>
          </cell>
          <cell r="G36">
            <v>6511794500</v>
          </cell>
          <cell r="O36" t="str">
            <v>DCMP</v>
          </cell>
        </row>
        <row r="37">
          <cell r="B37">
            <v>2</v>
          </cell>
          <cell r="G37">
            <v>461531300000</v>
          </cell>
          <cell r="O37" t="str">
            <v>HC</v>
          </cell>
        </row>
        <row r="38">
          <cell r="B38">
            <v>2</v>
          </cell>
          <cell r="G38">
            <v>11872256000</v>
          </cell>
          <cell r="O38" t="str">
            <v>HCN</v>
          </cell>
        </row>
        <row r="39">
          <cell r="B39">
            <v>2</v>
          </cell>
          <cell r="G39">
            <v>1798090650</v>
          </cell>
          <cell r="O39" t="str">
            <v>HNN</v>
          </cell>
        </row>
        <row r="40">
          <cell r="B40">
            <v>9</v>
          </cell>
          <cell r="G40">
            <v>172644040000</v>
          </cell>
          <cell r="O40" t="str">
            <v>NN</v>
          </cell>
        </row>
        <row r="41">
          <cell r="B41">
            <v>9</v>
          </cell>
          <cell r="G41">
            <v>12398286700</v>
          </cell>
          <cell r="O41" t="str">
            <v>DCMP</v>
          </cell>
        </row>
        <row r="42">
          <cell r="B42">
            <v>10</v>
          </cell>
          <cell r="G42">
            <v>393322250000</v>
          </cell>
          <cell r="O42" t="str">
            <v>HCN</v>
          </cell>
        </row>
        <row r="43">
          <cell r="B43" t="str">
            <v>N</v>
          </cell>
          <cell r="G43">
            <v>2433260045</v>
          </cell>
          <cell r="O43" t="str">
            <v>HHNN</v>
          </cell>
        </row>
        <row r="44">
          <cell r="B44">
            <v>10</v>
          </cell>
          <cell r="G44">
            <v>64335627000</v>
          </cell>
          <cell r="O44" t="str">
            <v>HNN</v>
          </cell>
        </row>
        <row r="45">
          <cell r="B45" t="str">
            <v>8,2</v>
          </cell>
          <cell r="G45">
            <v>172644040000</v>
          </cell>
          <cell r="O45" t="str">
            <v>NN</v>
          </cell>
        </row>
        <row r="46">
          <cell r="B46">
            <v>3</v>
          </cell>
          <cell r="G46">
            <v>384395600</v>
          </cell>
          <cell r="O46" t="str">
            <v>DCMP</v>
          </cell>
        </row>
        <row r="47">
          <cell r="B47">
            <v>9</v>
          </cell>
          <cell r="G47">
            <v>300587270000</v>
          </cell>
          <cell r="O47" t="str">
            <v>HCN</v>
          </cell>
        </row>
        <row r="48">
          <cell r="B48">
            <v>1</v>
          </cell>
          <cell r="G48">
            <v>13847962420</v>
          </cell>
          <cell r="O48" t="str">
            <v>HHCN</v>
          </cell>
        </row>
      </sheetData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RO fates"/>
      <sheetName val="dictionary"/>
      <sheetName val="pathway analysis"/>
      <sheetName val="funct_vs_site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D14">
            <v>0.47699611628561339</v>
          </cell>
        </row>
        <row r="15">
          <cell r="D15">
            <v>0.49754409691362639</v>
          </cell>
        </row>
        <row r="16">
          <cell r="D16">
            <v>0.57474570237210476</v>
          </cell>
        </row>
        <row r="17">
          <cell r="D17">
            <v>5.827416300520448E-2</v>
          </cell>
        </row>
      </sheetData>
      <sheetData sheetId="7"/>
      <sheetData sheetId="8"/>
      <sheetData sheetId="9">
        <row r="4">
          <cell r="A4" t="str">
            <v>ISOM</v>
          </cell>
          <cell r="B4"/>
          <cell r="D4">
            <v>256458097399</v>
          </cell>
          <cell r="E4">
            <v>1353165510100</v>
          </cell>
          <cell r="F4">
            <v>19843248909.400002</v>
          </cell>
          <cell r="G4">
            <v>1629466856408.3999</v>
          </cell>
          <cell r="I4">
            <v>272167556361.60001</v>
          </cell>
          <cell r="J4">
            <v>4091467510000</v>
          </cell>
          <cell r="K4">
            <v>586550257190</v>
          </cell>
          <cell r="L4">
            <v>4950185323551.5996</v>
          </cell>
        </row>
        <row r="5">
          <cell r="A5" t="str">
            <v>DINITR</v>
          </cell>
          <cell r="B5"/>
          <cell r="D5">
            <v>595032400000</v>
          </cell>
          <cell r="E5">
            <v>282747020000</v>
          </cell>
          <cell r="F5">
            <v>36548058000</v>
          </cell>
          <cell r="G5">
            <v>914327478000</v>
          </cell>
          <cell r="I5">
            <v>791602700000</v>
          </cell>
          <cell r="J5">
            <v>1073701100000</v>
          </cell>
          <cell r="K5">
            <v>757523800000</v>
          </cell>
          <cell r="L5">
            <v>2622827600000</v>
          </cell>
        </row>
        <row r="6">
          <cell r="A6" t="str">
            <v>HYDROXY-CARBONYL</v>
          </cell>
          <cell r="B6"/>
          <cell r="D6">
            <v>654542000000</v>
          </cell>
          <cell r="E6">
            <v>17427850000</v>
          </cell>
          <cell r="F6">
            <v>36067000000</v>
          </cell>
          <cell r="G6">
            <v>708036850000</v>
          </cell>
          <cell r="I6">
            <v>935253000000</v>
          </cell>
          <cell r="J6">
            <v>71070400000</v>
          </cell>
          <cell r="K6">
            <v>284975000000</v>
          </cell>
          <cell r="L6">
            <v>1291298400000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48205600000</v>
          </cell>
          <cell r="E8">
            <v>8413620</v>
          </cell>
          <cell r="F8">
            <v>101810000</v>
          </cell>
          <cell r="G8">
            <v>48315823620</v>
          </cell>
          <cell r="I8">
            <v>99874600000</v>
          </cell>
          <cell r="J8">
            <v>49750500</v>
          </cell>
          <cell r="K8">
            <v>213761000</v>
          </cell>
          <cell r="L8">
            <v>100138111500</v>
          </cell>
        </row>
        <row r="9">
          <cell r="A9" t="str">
            <v>DECOMP</v>
          </cell>
          <cell r="B9"/>
          <cell r="D9">
            <v>103246658000</v>
          </cell>
          <cell r="E9">
            <v>40227848.400000006</v>
          </cell>
          <cell r="F9">
            <v>227213158</v>
          </cell>
          <cell r="G9">
            <v>103514099006.39999</v>
          </cell>
          <cell r="I9">
            <v>115229185600</v>
          </cell>
          <cell r="J9">
            <v>109262456.8</v>
          </cell>
          <cell r="K9">
            <v>303053381</v>
          </cell>
          <cell r="L9">
            <v>115641501437.8</v>
          </cell>
        </row>
        <row r="10">
          <cell r="C10"/>
        </row>
        <row r="13">
          <cell r="B13" t="str">
            <v>site</v>
          </cell>
          <cell r="G13" t="str">
            <v>total</v>
          </cell>
          <cell r="O13" t="str">
            <v>TYPE</v>
          </cell>
        </row>
        <row r="14">
          <cell r="B14">
            <v>5</v>
          </cell>
          <cell r="G14">
            <v>48315823620</v>
          </cell>
          <cell r="O14" t="str">
            <v>C</v>
          </cell>
        </row>
        <row r="15">
          <cell r="B15">
            <v>8</v>
          </cell>
          <cell r="G15">
            <v>8063028300</v>
          </cell>
          <cell r="O15" t="str">
            <v>DCMP</v>
          </cell>
        </row>
        <row r="16">
          <cell r="B16">
            <v>10</v>
          </cell>
          <cell r="G16">
            <v>133426730</v>
          </cell>
          <cell r="O16" t="str">
            <v>DCMP</v>
          </cell>
        </row>
        <row r="17">
          <cell r="B17" t="str">
            <v>4,1</v>
          </cell>
          <cell r="G17">
            <v>29140852023</v>
          </cell>
          <cell r="O17" t="str">
            <v>DCMP</v>
          </cell>
        </row>
        <row r="18">
          <cell r="B18">
            <v>3</v>
          </cell>
          <cell r="G18">
            <v>8598141060</v>
          </cell>
          <cell r="O18" t="str">
            <v>DCMP</v>
          </cell>
        </row>
        <row r="19">
          <cell r="B19">
            <v>6</v>
          </cell>
          <cell r="G19">
            <v>6564474980</v>
          </cell>
          <cell r="O19" t="str">
            <v>DCMP</v>
          </cell>
        </row>
        <row r="20">
          <cell r="B20">
            <v>1</v>
          </cell>
          <cell r="G20">
            <v>21996114000</v>
          </cell>
          <cell r="O20" t="str">
            <v>NN</v>
          </cell>
        </row>
        <row r="21">
          <cell r="B21">
            <v>2</v>
          </cell>
          <cell r="G21">
            <v>131732510000</v>
          </cell>
          <cell r="O21" t="str">
            <v>NN</v>
          </cell>
        </row>
        <row r="22">
          <cell r="B22">
            <v>3</v>
          </cell>
          <cell r="G22">
            <v>178036250000</v>
          </cell>
          <cell r="O22" t="str">
            <v>NN</v>
          </cell>
        </row>
        <row r="23">
          <cell r="B23">
            <v>4</v>
          </cell>
          <cell r="G23">
            <v>35285970000</v>
          </cell>
          <cell r="O23" t="str">
            <v>NN</v>
          </cell>
        </row>
        <row r="24">
          <cell r="B24">
            <v>6</v>
          </cell>
          <cell r="G24">
            <v>35286070000</v>
          </cell>
          <cell r="O24" t="str">
            <v>NN</v>
          </cell>
        </row>
        <row r="25">
          <cell r="B25">
            <v>7</v>
          </cell>
          <cell r="G25">
            <v>178569760000</v>
          </cell>
          <cell r="O25" t="str">
            <v>NN</v>
          </cell>
        </row>
        <row r="26">
          <cell r="B26">
            <v>8</v>
          </cell>
          <cell r="G26">
            <v>179692180000</v>
          </cell>
          <cell r="O26" t="str">
            <v>NN</v>
          </cell>
        </row>
        <row r="27">
          <cell r="B27">
            <v>9</v>
          </cell>
          <cell r="G27">
            <v>131732510000</v>
          </cell>
          <cell r="O27" t="str">
            <v>NN</v>
          </cell>
        </row>
        <row r="28">
          <cell r="B28">
            <v>10</v>
          </cell>
          <cell r="G28">
            <v>21996114000</v>
          </cell>
          <cell r="O28" t="str">
            <v>NN</v>
          </cell>
        </row>
        <row r="29">
          <cell r="B29">
            <v>2</v>
          </cell>
          <cell r="G29">
            <v>308693580000</v>
          </cell>
          <cell r="O29" t="str">
            <v>HC</v>
          </cell>
        </row>
        <row r="30">
          <cell r="B30">
            <v>8</v>
          </cell>
          <cell r="G30">
            <v>399343270000</v>
          </cell>
          <cell r="O30" t="str">
            <v>HC</v>
          </cell>
        </row>
        <row r="31">
          <cell r="B31">
            <v>1</v>
          </cell>
          <cell r="G31">
            <v>42772803000</v>
          </cell>
          <cell r="O31" t="str">
            <v>HCN</v>
          </cell>
        </row>
        <row r="32">
          <cell r="B32">
            <v>3</v>
          </cell>
          <cell r="G32">
            <v>411363100000</v>
          </cell>
          <cell r="O32" t="str">
            <v>HCN</v>
          </cell>
        </row>
        <row r="33">
          <cell r="B33">
            <v>4</v>
          </cell>
          <cell r="G33">
            <v>47839022000</v>
          </cell>
          <cell r="O33" t="str">
            <v>HCN</v>
          </cell>
        </row>
        <row r="34">
          <cell r="B34">
            <v>4</v>
          </cell>
          <cell r="G34">
            <v>4749253500</v>
          </cell>
          <cell r="O34" t="str">
            <v>HCN</v>
          </cell>
        </row>
        <row r="35">
          <cell r="B35">
            <v>6</v>
          </cell>
          <cell r="G35">
            <v>31913128000</v>
          </cell>
          <cell r="O35" t="str">
            <v>HCN</v>
          </cell>
        </row>
        <row r="36">
          <cell r="B36">
            <v>6</v>
          </cell>
          <cell r="G36">
            <v>32148351000</v>
          </cell>
          <cell r="O36" t="str">
            <v>HCN</v>
          </cell>
        </row>
        <row r="37">
          <cell r="B37">
            <v>7</v>
          </cell>
          <cell r="G37">
            <v>392188000000</v>
          </cell>
          <cell r="O37" t="str">
            <v>HCN</v>
          </cell>
        </row>
        <row r="38">
          <cell r="B38">
            <v>7</v>
          </cell>
          <cell r="G38">
            <v>39105003000</v>
          </cell>
          <cell r="O38" t="str">
            <v>HCN</v>
          </cell>
        </row>
        <row r="39">
          <cell r="B39">
            <v>9</v>
          </cell>
          <cell r="G39">
            <v>304479400000</v>
          </cell>
          <cell r="O39" t="str">
            <v>HCN</v>
          </cell>
        </row>
        <row r="40">
          <cell r="B40">
            <v>10</v>
          </cell>
          <cell r="G40">
            <v>46242718000</v>
          </cell>
          <cell r="O40" t="str">
            <v>HCN</v>
          </cell>
        </row>
        <row r="41">
          <cell r="B41">
            <v>1</v>
          </cell>
          <cell r="G41">
            <v>6289337300</v>
          </cell>
          <cell r="O41" t="str">
            <v>HHCN</v>
          </cell>
        </row>
        <row r="42">
          <cell r="B42">
            <v>3</v>
          </cell>
          <cell r="G42">
            <v>30338850450</v>
          </cell>
          <cell r="O42" t="str">
            <v>HHCN</v>
          </cell>
        </row>
        <row r="43">
          <cell r="B43">
            <v>10</v>
          </cell>
          <cell r="G43">
            <v>6678295160</v>
          </cell>
          <cell r="O43" t="str">
            <v>HHCN</v>
          </cell>
        </row>
        <row r="44">
          <cell r="B44">
            <v>1</v>
          </cell>
          <cell r="G44">
            <v>952711005.70000005</v>
          </cell>
          <cell r="O44" t="str">
            <v>HHNN</v>
          </cell>
        </row>
        <row r="45">
          <cell r="B45">
            <v>3</v>
          </cell>
          <cell r="G45">
            <v>2639860936</v>
          </cell>
          <cell r="O45" t="str">
            <v>HHNN</v>
          </cell>
        </row>
        <row r="46">
          <cell r="B46">
            <v>9</v>
          </cell>
          <cell r="G46">
            <v>1955977630</v>
          </cell>
          <cell r="O46" t="str">
            <v>HHNN</v>
          </cell>
        </row>
        <row r="47">
          <cell r="B47">
            <v>10</v>
          </cell>
          <cell r="G47">
            <v>1044209984.7</v>
          </cell>
          <cell r="O47" t="str">
            <v>HHNN</v>
          </cell>
        </row>
        <row r="48">
          <cell r="B48" t="str">
            <v>N</v>
          </cell>
          <cell r="G48">
            <v>93891760</v>
          </cell>
          <cell r="O48" t="str">
            <v>HN</v>
          </cell>
        </row>
      </sheetData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ionary"/>
      <sheetName val="pathway analysis"/>
    </sheetNames>
    <sheetDataSet>
      <sheetData sheetId="0"/>
      <sheetData sheetId="1"/>
      <sheetData sheetId="2"/>
      <sheetData sheetId="3"/>
      <sheetData sheetId="4"/>
      <sheetData sheetId="5">
        <row r="14">
          <cell r="D14">
            <v>0.89122413727407823</v>
          </cell>
        </row>
        <row r="15">
          <cell r="D15">
            <v>0.92458082155680732</v>
          </cell>
        </row>
        <row r="16">
          <cell r="D16">
            <v>1.0676736519258032</v>
          </cell>
        </row>
        <row r="17">
          <cell r="D17">
            <v>5.0301742596435745E-2</v>
          </cell>
        </row>
      </sheetData>
      <sheetData sheetId="6"/>
      <sheetData sheetId="7">
        <row r="4">
          <cell r="A4" t="str">
            <v>ISOM</v>
          </cell>
          <cell r="B4"/>
          <cell r="D4">
            <v>302272020123.20001</v>
          </cell>
          <cell r="E4">
            <v>2983630164000</v>
          </cell>
          <cell r="F4">
            <v>27953450685.190002</v>
          </cell>
          <cell r="G4">
            <v>3313855634808.3896</v>
          </cell>
          <cell r="I4">
            <v>304501114948.60004</v>
          </cell>
          <cell r="J4">
            <v>8416441172000</v>
          </cell>
          <cell r="K4">
            <v>653806938268</v>
          </cell>
          <cell r="L4">
            <v>9374749225216.5996</v>
          </cell>
        </row>
        <row r="5">
          <cell r="A5" t="str">
            <v>DINITR</v>
          </cell>
          <cell r="B5"/>
          <cell r="D5">
            <v>602328200000</v>
          </cell>
          <cell r="E5">
            <v>570797090000</v>
          </cell>
          <cell r="F5">
            <v>42459267000</v>
          </cell>
          <cell r="G5">
            <v>1215584557000</v>
          </cell>
          <cell r="I5">
            <v>774018600000</v>
          </cell>
          <cell r="J5">
            <v>1854685000000</v>
          </cell>
          <cell r="K5">
            <v>743445200000</v>
          </cell>
          <cell r="L5">
            <v>3372148800000</v>
          </cell>
        </row>
        <row r="6">
          <cell r="A6" t="str">
            <v>HYDROXY-CARBONYL</v>
          </cell>
          <cell r="B6"/>
          <cell r="D6">
            <v>192955000000</v>
          </cell>
          <cell r="E6">
            <v>16612100000</v>
          </cell>
          <cell r="F6">
            <v>11452500000</v>
          </cell>
          <cell r="G6">
            <v>221019600000</v>
          </cell>
          <cell r="I6">
            <v>372545000000</v>
          </cell>
          <cell r="J6">
            <v>42316200000</v>
          </cell>
          <cell r="K6">
            <v>163042000000</v>
          </cell>
          <cell r="L6">
            <v>577903200000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0</v>
          </cell>
          <cell r="E8">
            <v>0</v>
          </cell>
          <cell r="F8">
            <v>0</v>
          </cell>
          <cell r="G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DECOMP</v>
          </cell>
          <cell r="B9"/>
          <cell r="D9">
            <v>0</v>
          </cell>
          <cell r="E9">
            <v>0</v>
          </cell>
          <cell r="F9">
            <v>0</v>
          </cell>
          <cell r="G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gas"/>
      <sheetName val="aer"/>
      <sheetName val="wall"/>
      <sheetName val="soa_yield"/>
      <sheetName val="dictionary"/>
      <sheetName val="pathway analysis"/>
      <sheetName val="funct_vs_site"/>
    </sheetNames>
    <sheetDataSet>
      <sheetData sheetId="0"/>
      <sheetData sheetId="1"/>
      <sheetData sheetId="2"/>
      <sheetData sheetId="3"/>
      <sheetData sheetId="4"/>
      <sheetData sheetId="5">
        <row r="14">
          <cell r="D14">
            <v>0.77804685266468221</v>
          </cell>
        </row>
        <row r="15">
          <cell r="D15">
            <v>0.81098224033909627</v>
          </cell>
        </row>
        <row r="16">
          <cell r="D16">
            <v>0.93015849487223501</v>
          </cell>
        </row>
        <row r="17">
          <cell r="D17">
            <v>5.4772985009756241E-2</v>
          </cell>
        </row>
      </sheetData>
      <sheetData sheetId="6"/>
      <sheetData sheetId="7">
        <row r="4">
          <cell r="A4" t="str">
            <v>ISOM</v>
          </cell>
          <cell r="B4"/>
          <cell r="D4">
            <v>300185387629.84998</v>
          </cell>
          <cell r="E4">
            <v>2204113891914</v>
          </cell>
          <cell r="F4">
            <v>26901236031.646999</v>
          </cell>
          <cell r="G4">
            <v>2531200515575.4971</v>
          </cell>
          <cell r="I4">
            <v>305193649489.29999</v>
          </cell>
          <cell r="J4">
            <v>7204515921000</v>
          </cell>
          <cell r="K4">
            <v>655052771270</v>
          </cell>
          <cell r="L4">
            <v>8164762341759.2998</v>
          </cell>
        </row>
        <row r="5">
          <cell r="A5" t="str">
            <v>DINITR</v>
          </cell>
          <cell r="B5"/>
          <cell r="D5">
            <v>583524000000</v>
          </cell>
          <cell r="E5">
            <v>417867640000</v>
          </cell>
          <cell r="F5">
            <v>40034066000</v>
          </cell>
          <cell r="G5">
            <v>1041425706000</v>
          </cell>
          <cell r="I5">
            <v>784468300000</v>
          </cell>
          <cell r="J5">
            <v>1809809000000</v>
          </cell>
          <cell r="K5">
            <v>752961400000</v>
          </cell>
          <cell r="L5">
            <v>3347238700000</v>
          </cell>
        </row>
        <row r="6">
          <cell r="A6" t="str">
            <v>HYDROXY-CARBONYL</v>
          </cell>
          <cell r="B6"/>
          <cell r="D6">
            <v>330963000000</v>
          </cell>
          <cell r="E6">
            <v>13279300000</v>
          </cell>
          <cell r="F6">
            <v>18433800000</v>
          </cell>
          <cell r="G6">
            <v>362676100000</v>
          </cell>
          <cell r="I6">
            <v>772042000000</v>
          </cell>
          <cell r="J6">
            <v>99788700000</v>
          </cell>
          <cell r="K6">
            <v>234981000000</v>
          </cell>
          <cell r="L6">
            <v>1106811700000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8340.7999999999993</v>
          </cell>
          <cell r="E8">
            <v>2.1935899999999999</v>
          </cell>
          <cell r="F8">
            <v>16.958600000000001</v>
          </cell>
          <cell r="G8">
            <v>8359.95219</v>
          </cell>
          <cell r="I8">
            <v>4966950</v>
          </cell>
          <cell r="J8">
            <v>4208.3599999999997</v>
          </cell>
          <cell r="K8">
            <v>10630.7</v>
          </cell>
          <cell r="L8">
            <v>4981789.0600000005</v>
          </cell>
        </row>
        <row r="9">
          <cell r="A9" t="str">
            <v>DECOMP</v>
          </cell>
          <cell r="B9"/>
          <cell r="D9">
            <v>86763580000</v>
          </cell>
          <cell r="E9">
            <v>347257303.89999998</v>
          </cell>
          <cell r="F9">
            <v>316209689.19999999</v>
          </cell>
          <cell r="G9">
            <v>87427046993.100006</v>
          </cell>
          <cell r="I9">
            <v>234477123000</v>
          </cell>
          <cell r="J9">
            <v>1694931661.8</v>
          </cell>
          <cell r="K9">
            <v>2147688321</v>
          </cell>
          <cell r="L9">
            <v>238319742982.79999</v>
          </cell>
        </row>
      </sheetData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dictionary"/>
      <sheetName val="pathway analysis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D14">
            <v>0.71072886501446131</v>
          </cell>
        </row>
        <row r="15">
          <cell r="D15">
            <v>0.7442559090113321</v>
          </cell>
        </row>
        <row r="16">
          <cell r="D16">
            <v>0.85019135915913657</v>
          </cell>
        </row>
        <row r="17">
          <cell r="D17">
            <v>5.9751345228459783E-2</v>
          </cell>
        </row>
      </sheetData>
      <sheetData sheetId="7"/>
      <sheetData sheetId="8">
        <row r="4">
          <cell r="A4" t="str">
            <v>ISOM</v>
          </cell>
          <cell r="B4"/>
          <cell r="D4">
            <v>286403172165.66003</v>
          </cell>
          <cell r="E4">
            <v>1829349567289</v>
          </cell>
          <cell r="F4">
            <v>24948189064.047001</v>
          </cell>
          <cell r="G4">
            <v>2140700928518.707</v>
          </cell>
          <cell r="H4"/>
          <cell r="I4">
            <v>294578534840.90002</v>
          </cell>
          <cell r="J4">
            <v>6168471792100</v>
          </cell>
          <cell r="K4">
            <v>635029205034</v>
          </cell>
          <cell r="L4">
            <v>7098079531974.9004</v>
          </cell>
        </row>
        <row r="5">
          <cell r="A5" t="str">
            <v>DINITR</v>
          </cell>
          <cell r="B5"/>
          <cell r="D5">
            <v>551333300000</v>
          </cell>
          <cell r="E5">
            <v>332538580000</v>
          </cell>
          <cell r="F5">
            <v>37041276000</v>
          </cell>
          <cell r="G5">
            <v>920913156000</v>
          </cell>
          <cell r="H5"/>
          <cell r="I5">
            <v>771375800000</v>
          </cell>
          <cell r="J5">
            <v>1530934500000</v>
          </cell>
          <cell r="K5">
            <v>739961200000</v>
          </cell>
          <cell r="L5">
            <v>3042271500000</v>
          </cell>
        </row>
        <row r="6">
          <cell r="A6" t="str">
            <v>HYDROXY-CARBONYL</v>
          </cell>
          <cell r="B6"/>
          <cell r="D6">
            <v>335543000000</v>
          </cell>
          <cell r="E6">
            <v>11339800000</v>
          </cell>
          <cell r="F6">
            <v>18582000000</v>
          </cell>
          <cell r="G6">
            <v>365464800000</v>
          </cell>
          <cell r="H6"/>
          <cell r="I6">
            <v>813778000000</v>
          </cell>
          <cell r="J6">
            <v>90485400000</v>
          </cell>
          <cell r="K6">
            <v>247640000000</v>
          </cell>
          <cell r="L6">
            <v>1151903400000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H7"/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49332600000</v>
          </cell>
          <cell r="E8">
            <v>10928300</v>
          </cell>
          <cell r="F8">
            <v>104072000</v>
          </cell>
          <cell r="G8">
            <v>49447600300</v>
          </cell>
          <cell r="H8"/>
          <cell r="I8">
            <v>147657000000</v>
          </cell>
          <cell r="J8">
            <v>107624000</v>
          </cell>
          <cell r="K8">
            <v>316031000</v>
          </cell>
          <cell r="L8">
            <v>148080655000</v>
          </cell>
        </row>
        <row r="9">
          <cell r="A9" t="str">
            <v>DECOMP</v>
          </cell>
          <cell r="B9"/>
          <cell r="D9">
            <v>171829369000</v>
          </cell>
          <cell r="E9">
            <v>534444494.48000002</v>
          </cell>
          <cell r="F9">
            <v>677863617.20000005</v>
          </cell>
          <cell r="G9">
            <v>173041677111.67999</v>
          </cell>
          <cell r="H9"/>
          <cell r="I9">
            <v>486256496000</v>
          </cell>
          <cell r="J9">
            <v>2773116237.0999999</v>
          </cell>
          <cell r="K9">
            <v>3968489401</v>
          </cell>
          <cell r="L9">
            <v>492998101638.09998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orting"/>
      <sheetName val="sort instructions"/>
      <sheetName val="gas"/>
      <sheetName val="aer"/>
      <sheetName val="wall"/>
      <sheetName val="soa_yield"/>
      <sheetName val="RO fates"/>
      <sheetName val="dictionary"/>
      <sheetName val="pathway analysis"/>
      <sheetName val="funct_vs_site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D14">
            <v>0.5816077953714982</v>
          </cell>
        </row>
        <row r="15">
          <cell r="D15">
            <v>0.60766229023182405</v>
          </cell>
        </row>
        <row r="16">
          <cell r="D16">
            <v>0.69913011390141555</v>
          </cell>
        </row>
        <row r="17">
          <cell r="D17">
            <v>5.8189512594769448E-2</v>
          </cell>
        </row>
      </sheetData>
      <sheetData sheetId="7"/>
      <sheetData sheetId="8"/>
      <sheetData sheetId="9">
        <row r="4">
          <cell r="A4" t="str">
            <v>ISOM</v>
          </cell>
          <cell r="B4"/>
          <cell r="D4">
            <v>280222343525</v>
          </cell>
          <cell r="E4">
            <v>1689353368240</v>
          </cell>
          <cell r="F4">
            <v>22267207852.900002</v>
          </cell>
          <cell r="G4">
            <v>1991842919617.8999</v>
          </cell>
          <cell r="H4"/>
          <cell r="I4">
            <v>293393547874.29999</v>
          </cell>
          <cell r="J4">
            <v>5115802554000</v>
          </cell>
          <cell r="K4">
            <v>628123501153</v>
          </cell>
          <cell r="L4">
            <v>6037319603027.2998</v>
          </cell>
        </row>
        <row r="5">
          <cell r="A5" t="str">
            <v>DINITR</v>
          </cell>
          <cell r="B5"/>
          <cell r="D5">
            <v>570298000000</v>
          </cell>
          <cell r="E5">
            <v>323011680000</v>
          </cell>
          <cell r="F5">
            <v>35580502000</v>
          </cell>
          <cell r="G5">
            <v>928890182000</v>
          </cell>
          <cell r="H5"/>
          <cell r="I5">
            <v>744074500000</v>
          </cell>
          <cell r="J5">
            <v>1219996900000</v>
          </cell>
          <cell r="K5">
            <v>712412900000</v>
          </cell>
          <cell r="L5">
            <v>2676484300000</v>
          </cell>
        </row>
        <row r="6">
          <cell r="A6" t="str">
            <v>HYDROXY-CARBONYL</v>
          </cell>
          <cell r="B6"/>
          <cell r="D6">
            <v>408479000000</v>
          </cell>
          <cell r="E6">
            <v>12963810000</v>
          </cell>
          <cell r="F6">
            <v>22674330000</v>
          </cell>
          <cell r="G6">
            <v>444117140000</v>
          </cell>
          <cell r="H6"/>
          <cell r="I6">
            <v>575633700000</v>
          </cell>
          <cell r="J6">
            <v>52877800000</v>
          </cell>
          <cell r="K6">
            <v>175258900000</v>
          </cell>
          <cell r="L6">
            <v>803770400000</v>
          </cell>
        </row>
        <row r="7">
          <cell r="A7" t="str">
            <v>NITRATE-CARBONYL</v>
          </cell>
          <cell r="B7"/>
          <cell r="D7">
            <v>0</v>
          </cell>
          <cell r="E7">
            <v>0</v>
          </cell>
          <cell r="F7">
            <v>0</v>
          </cell>
          <cell r="G7">
            <v>0</v>
          </cell>
          <cell r="H7"/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A8" t="str">
            <v>CARBONYL</v>
          </cell>
          <cell r="B8"/>
          <cell r="D8">
            <v>48644900000</v>
          </cell>
          <cell r="E8">
            <v>10119700</v>
          </cell>
          <cell r="F8">
            <v>102739000</v>
          </cell>
          <cell r="G8">
            <v>48757758700</v>
          </cell>
          <cell r="H8"/>
          <cell r="I8">
            <v>100170000000</v>
          </cell>
          <cell r="J8">
            <v>60318300</v>
          </cell>
          <cell r="K8">
            <v>214394000</v>
          </cell>
          <cell r="L8">
            <v>100444712300</v>
          </cell>
        </row>
        <row r="9">
          <cell r="A9" t="str">
            <v>DECOMP</v>
          </cell>
          <cell r="B9"/>
          <cell r="D9">
            <v>138929963000</v>
          </cell>
          <cell r="E9">
            <v>136826644.69999999</v>
          </cell>
          <cell r="F9">
            <v>297902370</v>
          </cell>
          <cell r="G9">
            <v>139364692014.70001</v>
          </cell>
          <cell r="H9"/>
          <cell r="I9">
            <v>171481018000</v>
          </cell>
          <cell r="J9">
            <v>355007510.69999999</v>
          </cell>
          <cell r="K9">
            <v>486132761</v>
          </cell>
          <cell r="L9">
            <v>172322158271.70001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/>
  </sheetViews>
  <sheetFormatPr defaultRowHeight="15"/>
  <cols>
    <col min="5" max="5" width="17.7109375" bestFit="1" customWidth="1"/>
  </cols>
  <sheetData>
    <row r="1" spans="1:9">
      <c r="A1" t="s">
        <v>56</v>
      </c>
      <c r="C1" t="s">
        <v>5</v>
      </c>
    </row>
    <row r="2" spans="1:9">
      <c r="A2" t="s">
        <v>4</v>
      </c>
      <c r="I2" t="s">
        <v>3</v>
      </c>
    </row>
    <row r="3" spans="1:9">
      <c r="A3">
        <v>1</v>
      </c>
      <c r="F3" s="2"/>
      <c r="I3" s="1">
        <f t="shared" ref="I3:I13" si="0">F3/SUM(F$3:F$13)</f>
        <v>0</v>
      </c>
    </row>
    <row r="4" spans="1:9">
      <c r="A4">
        <v>1</v>
      </c>
      <c r="F4" s="2"/>
      <c r="I4" s="1">
        <f t="shared" si="0"/>
        <v>0</v>
      </c>
    </row>
    <row r="5" spans="1:9">
      <c r="A5">
        <v>2</v>
      </c>
      <c r="C5" t="s">
        <v>47</v>
      </c>
      <c r="D5" t="s">
        <v>0</v>
      </c>
      <c r="E5" t="s">
        <v>46</v>
      </c>
      <c r="F5" s="2">
        <v>2.8139999999999999E-13</v>
      </c>
      <c r="G5">
        <v>0</v>
      </c>
      <c r="H5">
        <v>0</v>
      </c>
      <c r="I5" s="1">
        <f t="shared" si="0"/>
        <v>2.8304733549256673E-2</v>
      </c>
    </row>
    <row r="6" spans="1:9">
      <c r="A6">
        <v>3</v>
      </c>
      <c r="C6" t="s">
        <v>47</v>
      </c>
      <c r="D6" t="s">
        <v>0</v>
      </c>
      <c r="E6" t="s">
        <v>45</v>
      </c>
      <c r="F6" s="2">
        <v>1.407E-12</v>
      </c>
      <c r="G6">
        <v>0</v>
      </c>
      <c r="H6">
        <v>0</v>
      </c>
      <c r="I6" s="1">
        <f t="shared" si="0"/>
        <v>0.14152366774628336</v>
      </c>
    </row>
    <row r="7" spans="1:9">
      <c r="A7">
        <v>4</v>
      </c>
      <c r="C7" t="s">
        <v>47</v>
      </c>
      <c r="D7" t="s">
        <v>0</v>
      </c>
      <c r="E7" t="s">
        <v>44</v>
      </c>
      <c r="F7" s="2">
        <v>1.407E-12</v>
      </c>
      <c r="G7">
        <v>0</v>
      </c>
      <c r="H7">
        <v>0</v>
      </c>
      <c r="I7" s="1">
        <f t="shared" si="0"/>
        <v>0.14152366774628336</v>
      </c>
    </row>
    <row r="8" spans="1:9">
      <c r="A8">
        <v>5</v>
      </c>
      <c r="C8" t="s">
        <v>47</v>
      </c>
      <c r="D8" t="s">
        <v>0</v>
      </c>
      <c r="E8" t="s">
        <v>43</v>
      </c>
      <c r="F8" s="2">
        <v>1.407E-12</v>
      </c>
      <c r="G8">
        <v>0</v>
      </c>
      <c r="H8">
        <v>0</v>
      </c>
      <c r="I8" s="1">
        <f t="shared" si="0"/>
        <v>0.14152366774628336</v>
      </c>
    </row>
    <row r="9" spans="1:9">
      <c r="A9">
        <v>6</v>
      </c>
      <c r="C9" t="s">
        <v>47</v>
      </c>
      <c r="D9" t="s">
        <v>0</v>
      </c>
      <c r="E9" t="s">
        <v>42</v>
      </c>
      <c r="F9" s="2">
        <v>1.407E-12</v>
      </c>
      <c r="G9">
        <v>0</v>
      </c>
      <c r="H9">
        <v>0</v>
      </c>
      <c r="I9" s="1">
        <f t="shared" si="0"/>
        <v>0.14152366774628336</v>
      </c>
    </row>
    <row r="10" spans="1:9">
      <c r="A10">
        <v>7</v>
      </c>
      <c r="C10" t="s">
        <v>47</v>
      </c>
      <c r="D10" t="s">
        <v>0</v>
      </c>
      <c r="E10" t="s">
        <v>41</v>
      </c>
      <c r="F10" s="2">
        <v>1.407E-12</v>
      </c>
      <c r="G10">
        <v>0</v>
      </c>
      <c r="H10">
        <v>0</v>
      </c>
      <c r="I10" s="1">
        <f t="shared" si="0"/>
        <v>0.14152366774628336</v>
      </c>
    </row>
    <row r="11" spans="1:9">
      <c r="A11">
        <v>8</v>
      </c>
      <c r="C11" t="s">
        <v>47</v>
      </c>
      <c r="D11" t="s">
        <v>0</v>
      </c>
      <c r="E11" t="s">
        <v>40</v>
      </c>
      <c r="F11" s="2">
        <v>1.407E-12</v>
      </c>
      <c r="G11">
        <v>0</v>
      </c>
      <c r="H11">
        <v>0</v>
      </c>
      <c r="I11" s="1">
        <f t="shared" si="0"/>
        <v>0.14152366774628336</v>
      </c>
    </row>
    <row r="12" spans="1:9">
      <c r="A12">
        <v>9</v>
      </c>
      <c r="C12" t="s">
        <v>47</v>
      </c>
      <c r="D12" t="s">
        <v>0</v>
      </c>
      <c r="E12" t="s">
        <v>39</v>
      </c>
      <c r="F12" s="2">
        <v>1.042E-12</v>
      </c>
      <c r="G12">
        <v>0</v>
      </c>
      <c r="H12">
        <v>0</v>
      </c>
      <c r="I12" s="1">
        <f t="shared" si="0"/>
        <v>0.10480999416604639</v>
      </c>
    </row>
    <row r="13" spans="1:9">
      <c r="A13">
        <v>10</v>
      </c>
      <c r="C13" t="s">
        <v>47</v>
      </c>
      <c r="D13" t="s">
        <v>0</v>
      </c>
      <c r="E13" t="s">
        <v>38</v>
      </c>
      <c r="F13" s="2">
        <v>1.7640000000000001E-13</v>
      </c>
      <c r="G13">
        <v>0</v>
      </c>
      <c r="H13">
        <v>0</v>
      </c>
      <c r="I13" s="1">
        <f t="shared" si="0"/>
        <v>1.7743265806996721E-2</v>
      </c>
    </row>
  </sheetData>
  <sortState ref="K23:P30">
    <sortCondition descending="1" ref="M23:M30"/>
  </sortState>
  <conditionalFormatting sqref="I3:I13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8"/>
  <sheetViews>
    <sheetView tabSelected="1" zoomScale="75" zoomScaleNormal="75" workbookViewId="0">
      <selection activeCell="AH20" sqref="AH20"/>
    </sheetView>
  </sheetViews>
  <sheetFormatPr defaultRowHeight="15"/>
  <cols>
    <col min="1" max="1" width="20.85546875" bestFit="1" customWidth="1"/>
    <col min="6" max="6" width="8.7109375" customWidth="1"/>
    <col min="21" max="26" width="0.140625" customWidth="1"/>
  </cols>
  <sheetData>
    <row r="1" spans="1:32">
      <c r="A1" s="36" t="s">
        <v>76</v>
      </c>
      <c r="G1" t="s">
        <v>85</v>
      </c>
    </row>
    <row r="2" spans="1:32">
      <c r="A2" t="s">
        <v>75</v>
      </c>
      <c r="B2" s="19">
        <v>11</v>
      </c>
      <c r="AA2" t="s">
        <v>75</v>
      </c>
      <c r="AB2" s="19">
        <v>12</v>
      </c>
    </row>
    <row r="3" spans="1:32">
      <c r="A3" t="s">
        <v>13</v>
      </c>
      <c r="B3">
        <v>1</v>
      </c>
      <c r="C3">
        <v>2</v>
      </c>
      <c r="D3">
        <v>3</v>
      </c>
      <c r="E3" s="3">
        <v>4</v>
      </c>
      <c r="F3">
        <v>5</v>
      </c>
      <c r="AA3" t="s">
        <v>13</v>
      </c>
      <c r="AB3">
        <v>1</v>
      </c>
      <c r="AC3">
        <v>2</v>
      </c>
      <c r="AD3">
        <v>3</v>
      </c>
      <c r="AE3" s="3">
        <v>4</v>
      </c>
      <c r="AF3">
        <v>5</v>
      </c>
    </row>
    <row r="4" spans="1:32">
      <c r="A4" s="3" t="s">
        <v>70</v>
      </c>
      <c r="B4" s="38">
        <f>VLOOKUP($A4,[12]categories!$A$4:$X$11,$B$2,FALSE)</f>
        <v>4243529898896</v>
      </c>
      <c r="C4" s="38">
        <f>VLOOKUP($A4,[13]categories!$A$4:$X$11,$B$2,FALSE)</f>
        <v>3755119340561.7998</v>
      </c>
      <c r="D4" s="38">
        <f>VLOOKUP($A4,[11]categories!$A$4:$X$11,$B$2,FALSE)</f>
        <v>3821129128331.2002</v>
      </c>
      <c r="E4" s="38">
        <f>VLOOKUP($A4,[14]categories!$A$4:$X$11,$B$2,FALSE)</f>
        <v>4464938727831</v>
      </c>
      <c r="F4" s="38">
        <f>VLOOKUP($A4,[15]categories!$A$4:$X$11,$B$2,FALSE)</f>
        <v>3294976966140</v>
      </c>
      <c r="G4" s="3"/>
      <c r="H4" s="3"/>
      <c r="I4" s="3"/>
      <c r="J4" s="3"/>
      <c r="K4" s="7"/>
      <c r="AA4" s="3" t="s">
        <v>70</v>
      </c>
      <c r="AB4" s="38">
        <f>VLOOKUP($A4,[12]categories!$A$4:$X$11,$AB$2,FALSE)</f>
        <v>1485105465339.6252</v>
      </c>
      <c r="AC4" s="38">
        <f>VLOOKUP($A4,[13]categories!$A$4:$X$11,$AB$2,FALSE)</f>
        <v>1026119499677.8176</v>
      </c>
      <c r="AD4" s="38">
        <f>VLOOKUP($A4,[11]categories!$A$4:$X$11,$AB$2,FALSE)</f>
        <v>827255886828.95227</v>
      </c>
      <c r="AE4" s="38">
        <f>VLOOKUP($A4,[14]categories!$A$4:$X$11,$AB$2,FALSE)</f>
        <v>1276804575483.6694</v>
      </c>
      <c r="AF4" s="38">
        <f>VLOOKUP($A4,[15]categories!$A$4:$X$11,$AB$2,FALSE)</f>
        <v>929940820984.24634</v>
      </c>
    </row>
    <row r="5" spans="1:32">
      <c r="A5" s="3" t="s">
        <v>71</v>
      </c>
      <c r="B5" s="38">
        <f>VLOOKUP($A5,[12]categories!$A$4:$X$11,$B$2,FALSE)</f>
        <v>1666491800000</v>
      </c>
      <c r="C5" s="38">
        <f>VLOOKUP($A5,[13]categories!$A$4:$X$11,$B$2,FALSE)</f>
        <v>1374345300000</v>
      </c>
      <c r="D5" s="38">
        <f>VLOOKUP($A5,[11]categories!$A$4:$X$11,$B$2,FALSE)</f>
        <v>1249996100000</v>
      </c>
      <c r="E5" s="38">
        <f>VLOOKUP($A5,[14]categories!$A$4:$X$11,$B$2,FALSE)</f>
        <v>1275655600000</v>
      </c>
      <c r="F5" s="38">
        <f>VLOOKUP($A5,[15]categories!$A$4:$X$11,$B$2,FALSE)</f>
        <v>1080259708961.65</v>
      </c>
      <c r="G5" s="3"/>
      <c r="H5" s="3"/>
      <c r="I5" s="3"/>
      <c r="J5" s="3"/>
      <c r="K5" s="7"/>
      <c r="AA5" s="3" t="s">
        <v>71</v>
      </c>
      <c r="AB5" s="38">
        <f>VLOOKUP($A5,[12]categories!$A$4:$X$11,$B$2,FALSE)</f>
        <v>1666491800000</v>
      </c>
      <c r="AC5" s="38">
        <f>VLOOKUP($A5,[13]categories!$A$4:$X$11,$B$2,FALSE)</f>
        <v>1374345300000</v>
      </c>
      <c r="AD5" s="38">
        <f>VLOOKUP($A5,[11]categories!$A$4:$X$11,$AB$2,FALSE)</f>
        <v>874702400000</v>
      </c>
      <c r="AE5" s="38">
        <f>VLOOKUP($A5,[14]categories!$A$4:$X$11,$AB$2,FALSE)</f>
        <v>821275600000</v>
      </c>
      <c r="AF5" s="38">
        <f>VLOOKUP($A5,[15]categories!$A$4:$X$11,$AB$2,FALSE)</f>
        <v>870749548148</v>
      </c>
    </row>
    <row r="6" spans="1:32">
      <c r="A6" s="3" t="s">
        <v>72</v>
      </c>
      <c r="B6" s="38">
        <f>VLOOKUP($A6,[12]categories!$A$4:$X$11,$B$2,FALSE)</f>
        <v>25637600</v>
      </c>
      <c r="C6" s="38">
        <f>VLOOKUP($A6,[13]categories!$A$4:$X$11,$B$2,FALSE)</f>
        <v>16064600</v>
      </c>
      <c r="D6" s="38">
        <f>VLOOKUP($A6,[11]categories!$A$4:$X$11,$B$2,FALSE)</f>
        <v>17697900</v>
      </c>
      <c r="E6" s="38">
        <f>VLOOKUP($A6,[14]categories!$A$4:$X$11,$B$2,FALSE)</f>
        <v>25843020</v>
      </c>
      <c r="F6" s="38">
        <f>VLOOKUP($A6,[15]categories!$A$4:$X$11,$B$2,FALSE)</f>
        <v>27079290300</v>
      </c>
      <c r="G6" s="3"/>
      <c r="H6" s="3"/>
      <c r="I6" s="3"/>
      <c r="J6" s="3"/>
      <c r="K6" s="7"/>
      <c r="AA6" s="3" t="s">
        <v>72</v>
      </c>
      <c r="AB6" s="38">
        <f>VLOOKUP($A6,[12]categories!$A$4:$X$11,$B$2,FALSE)</f>
        <v>25637600</v>
      </c>
      <c r="AC6" s="38">
        <f>VLOOKUP($A6,[13]categories!$A$4:$X$11,$B$2,FALSE)</f>
        <v>16064600</v>
      </c>
      <c r="AD6" s="38">
        <f>VLOOKUP($A6,[11]categories!$A$4:$X$11,$AB$2,FALSE)</f>
        <v>388397</v>
      </c>
      <c r="AE6" s="38">
        <f>VLOOKUP($A6,[14]categories!$A$4:$X$11,$AB$2,FALSE)</f>
        <v>520075.7</v>
      </c>
      <c r="AF6" s="38">
        <f>VLOOKUP($A6,[15]categories!$A$4:$X$11,$AB$2,FALSE)</f>
        <v>21809285095</v>
      </c>
    </row>
    <row r="7" spans="1:32">
      <c r="A7" s="3" t="s">
        <v>58</v>
      </c>
      <c r="B7" s="38">
        <f>VLOOKUP($A7,[12]categories!$A$4:$X$11,$B$2,FALSE)</f>
        <v>53582600000</v>
      </c>
      <c r="C7" s="38">
        <f>VLOOKUP($A7,[13]categories!$A$4:$X$11,$B$2,FALSE)</f>
        <v>64772500000</v>
      </c>
      <c r="D7" s="38">
        <f>VLOOKUP($A7,[11]categories!$A$4:$X$11,$B$2,FALSE)</f>
        <v>68395500000</v>
      </c>
      <c r="E7" s="38">
        <f>VLOOKUP($A7,[14]categories!$A$4:$X$11,$B$2,FALSE)</f>
        <v>98986500000</v>
      </c>
      <c r="F7" s="38">
        <f>VLOOKUP($A7,[15]categories!$A$4:$X$11,$B$2,FALSE)</f>
        <v>89401574000</v>
      </c>
      <c r="G7" s="3"/>
      <c r="H7" s="3"/>
      <c r="I7" s="3"/>
      <c r="J7" s="3"/>
      <c r="K7" s="7"/>
      <c r="AA7" s="3" t="s">
        <v>58</v>
      </c>
      <c r="AB7" s="38">
        <f>VLOOKUP($A7,[12]categories!$A$4:$X$11,$B$2,FALSE)</f>
        <v>53582600000</v>
      </c>
      <c r="AC7" s="38">
        <f>VLOOKUP($A7,[13]categories!$A$4:$X$11,$B$2,FALSE)</f>
        <v>64772500000</v>
      </c>
      <c r="AD7" s="38">
        <f>VLOOKUP($A7,[11]categories!$A$4:$X$11,$AB$2,FALSE)</f>
        <v>1760260000</v>
      </c>
      <c r="AE7" s="38">
        <f>VLOOKUP($A7,[14]categories!$A$4:$X$11,$AB$2,FALSE)</f>
        <v>2584627000</v>
      </c>
      <c r="AF7" s="38">
        <f>VLOOKUP($A7,[15]categories!$A$4:$X$11,$AB$2,FALSE)</f>
        <v>2922607000</v>
      </c>
    </row>
    <row r="8" spans="1:32">
      <c r="A8" s="3" t="s">
        <v>73</v>
      </c>
      <c r="B8" s="38">
        <f>VLOOKUP($A8,[12]categories!$A$4:$X$11,$B$2,FALSE)</f>
        <v>0</v>
      </c>
      <c r="C8" s="38">
        <f>VLOOKUP($A8,[13]categories!$A$4:$X$11,$B$2,FALSE)</f>
        <v>0</v>
      </c>
      <c r="D8" s="38">
        <f>VLOOKUP($A8,[11]categories!$A$4:$X$11,$B$2,FALSE)</f>
        <v>0</v>
      </c>
      <c r="E8" s="38">
        <f>VLOOKUP($A8,[14]categories!$A$4:$X$11,$B$2,FALSE)</f>
        <v>0</v>
      </c>
      <c r="F8" s="38">
        <f>VLOOKUP($A8,[15]categories!$A$4:$X$11,$B$2,FALSE)</f>
        <v>0</v>
      </c>
      <c r="G8" s="3"/>
      <c r="H8" s="3"/>
      <c r="I8" s="3"/>
      <c r="J8" s="3"/>
      <c r="K8" s="7"/>
      <c r="AA8" s="3" t="s">
        <v>73</v>
      </c>
      <c r="AB8" s="38">
        <f>VLOOKUP($A8,[12]categories!$A$4:$X$11,$B$2,FALSE)</f>
        <v>0</v>
      </c>
      <c r="AC8" s="38">
        <f>VLOOKUP($A8,[13]categories!$A$4:$X$11,$B$2,FALSE)</f>
        <v>0</v>
      </c>
      <c r="AD8" s="38">
        <f>VLOOKUP($A8,[11]categories!$A$4:$X$11,$AB$2,FALSE)</f>
        <v>0</v>
      </c>
      <c r="AE8" s="38">
        <f>VLOOKUP($A8,[14]categories!$A$4:$X$11,$AB$2,FALSE)</f>
        <v>0</v>
      </c>
      <c r="AF8" s="38">
        <f>VLOOKUP($A8,[15]categories!$A$4:$X$11,$AB$2,FALSE)</f>
        <v>0</v>
      </c>
    </row>
    <row r="9" spans="1:32">
      <c r="A9" s="3" t="s">
        <v>18</v>
      </c>
      <c r="B9" s="38">
        <f>VLOOKUP($A9,[12]categories!$A$4:$X$11,$B$2,FALSE)</f>
        <v>21405.52</v>
      </c>
      <c r="C9" s="38">
        <f>VLOOKUP($A9,[13]categories!$A$4:$X$11,$B$2,FALSE)</f>
        <v>2566.38</v>
      </c>
      <c r="D9" s="38">
        <f>VLOOKUP($A9,[11]categories!$A$4:$X$11,$B$2,FALSE)</f>
        <v>73097600</v>
      </c>
      <c r="E9" s="38">
        <f>VLOOKUP($A9,[14]categories!$A$4:$X$11,$B$2,FALSE)</f>
        <v>80512000</v>
      </c>
      <c r="F9" s="38">
        <f>VLOOKUP($A9,[15]categories!$A$4:$X$11,$B$2,FALSE)</f>
        <v>64639900</v>
      </c>
      <c r="G9" s="3"/>
      <c r="H9" s="3"/>
      <c r="I9" s="3"/>
      <c r="J9" s="3"/>
      <c r="K9" s="3"/>
      <c r="AA9" s="3" t="s">
        <v>18</v>
      </c>
      <c r="AB9" s="38">
        <f>VLOOKUP($A9,[12]categories!$A$4:$X$11,$B$2,FALSE)</f>
        <v>21405.52</v>
      </c>
      <c r="AC9" s="38">
        <f>VLOOKUP($A9,[13]categories!$A$4:$X$11,$B$2,FALSE)</f>
        <v>2566.38</v>
      </c>
      <c r="AD9" s="38">
        <f>VLOOKUP($A9,[11]categories!$A$4:$X$11,$AB$2,FALSE)</f>
        <v>315442000</v>
      </c>
      <c r="AE9" s="38">
        <f>VLOOKUP($A9,[14]categories!$A$4:$X$11,$AB$2,FALSE)</f>
        <v>318583000</v>
      </c>
      <c r="AF9" s="38">
        <f>VLOOKUP($A9,[15]categories!$A$4:$X$11,$AB$2,FALSE)</f>
        <v>320699000</v>
      </c>
    </row>
    <row r="10" spans="1:32">
      <c r="A10" s="3" t="s">
        <v>74</v>
      </c>
      <c r="B10" s="38">
        <f>VLOOKUP($A10,[12]categories!$A$4:$X$11,$B$2,FALSE)</f>
        <v>0</v>
      </c>
      <c r="C10" s="38">
        <f>VLOOKUP($A10,[13]categories!$A$4:$X$11,$B$2,FALSE)</f>
        <v>1244830500</v>
      </c>
      <c r="D10" s="38">
        <f>VLOOKUP($A10,[11]categories!$A$4:$X$11,$B$2,FALSE)</f>
        <v>4020603954</v>
      </c>
      <c r="E10" s="38">
        <f>VLOOKUP($A10,[14]categories!$A$4:$X$11,$B$2,FALSE)</f>
        <v>3043670818</v>
      </c>
      <c r="F10" s="38">
        <f>VLOOKUP($A10,[15]categories!$A$4:$X$11,$B$2,FALSE)</f>
        <v>49580672.899999999</v>
      </c>
      <c r="G10" s="3"/>
      <c r="H10" s="3"/>
      <c r="I10" s="3"/>
      <c r="J10" s="3"/>
      <c r="K10" s="3"/>
      <c r="AA10" s="3" t="s">
        <v>74</v>
      </c>
      <c r="AB10" s="38">
        <f>VLOOKUP($A10,[12]categories!$A$4:$X$11,$B$2,FALSE)</f>
        <v>0</v>
      </c>
      <c r="AC10" s="38">
        <f>VLOOKUP($A10,[13]categories!$A$4:$X$11,$B$2,FALSE)</f>
        <v>1244830500</v>
      </c>
      <c r="AD10" s="38">
        <f>VLOOKUP($A10,[11]categories!$A$4:$X$11,$AB$2,FALSE)</f>
        <v>2983518369.8000002</v>
      </c>
      <c r="AE10" s="38">
        <f>VLOOKUP($A10,[14]categories!$A$4:$X$11,$AB$2,FALSE)</f>
        <v>1992739230</v>
      </c>
      <c r="AF10" s="38">
        <f>VLOOKUP($A10,[15]categories!$A$4:$X$11,$AB$2,FALSE)</f>
        <v>243919477</v>
      </c>
    </row>
    <row r="11" spans="1:32">
      <c r="A11" s="3" t="s">
        <v>83</v>
      </c>
      <c r="B11" s="38">
        <f>VLOOKUP($A11,[12]categories!$A$4:$X$11,$B$2,FALSE)</f>
        <v>0</v>
      </c>
      <c r="C11" s="38">
        <f>VLOOKUP($A11,[13]categories!$A$4:$X$11,$B$2,FALSE)</f>
        <v>0</v>
      </c>
      <c r="D11" s="38">
        <f>VLOOKUP($A11,[11]categories!$A$4:$X$11,$B$2,FALSE)</f>
        <v>0</v>
      </c>
      <c r="E11" s="38">
        <f>VLOOKUP($A11,[14]categories!$A$4:$X$11,$B$2,FALSE)</f>
        <v>0</v>
      </c>
      <c r="F11" s="38">
        <f>VLOOKUP($A11,[15]categories!$A$4:$X$11,$B$2,FALSE)</f>
        <v>0</v>
      </c>
      <c r="G11" s="3"/>
      <c r="H11" s="3"/>
      <c r="I11" s="3"/>
      <c r="J11" s="3"/>
      <c r="K11" s="8"/>
      <c r="AA11" s="3" t="s">
        <v>83</v>
      </c>
      <c r="AB11" s="38">
        <f>VLOOKUP($A11,[12]categories!$A$4:$X$11,$B$2,FALSE)</f>
        <v>0</v>
      </c>
      <c r="AC11" s="38">
        <f>VLOOKUP($A11,[13]categories!$A$4:$X$11,$B$2,FALSE)</f>
        <v>0</v>
      </c>
      <c r="AD11" s="38">
        <f>VLOOKUP($A11,[11]categories!$A$4:$X$11,$AB$2,FALSE)</f>
        <v>0</v>
      </c>
      <c r="AE11" s="38">
        <f>VLOOKUP($A11,[14]categories!$A$4:$X$11,$AB$2,FALSE)</f>
        <v>0</v>
      </c>
      <c r="AF11" s="38">
        <f>VLOOKUP($A11,[15]categories!$A$4:$X$11,$AB$2,FALSE)</f>
        <v>0</v>
      </c>
    </row>
    <row r="12" spans="1:32">
      <c r="A12" t="s">
        <v>63</v>
      </c>
      <c r="B12" s="31">
        <f>[12]soa_yield!$D13</f>
        <v>0.60110270476190475</v>
      </c>
      <c r="C12" s="31">
        <f>[13]soa_yield!$D13</f>
        <v>0.54416750952380954</v>
      </c>
      <c r="D12" s="31">
        <f>[11]soa_yield!$D13</f>
        <v>0.52408086666666664</v>
      </c>
      <c r="E12" s="31">
        <f t="array" ref="E12">[14]soa_yield!$D13</f>
        <v>0.49170662857142855</v>
      </c>
      <c r="F12" s="31">
        <f>[13]soa_yield!$D13</f>
        <v>0.54416750952380954</v>
      </c>
      <c r="K12" s="8"/>
      <c r="AA12" t="s">
        <v>63</v>
      </c>
      <c r="AB12" s="31">
        <f>[12]soa_yield!$D13</f>
        <v>0.60110270476190475</v>
      </c>
      <c r="AC12" s="31">
        <f>[13]soa_yield!$D13</f>
        <v>0.54416750952380954</v>
      </c>
      <c r="AD12" s="31">
        <f>[11]soa_yield!$D13</f>
        <v>0.52408086666666664</v>
      </c>
      <c r="AE12" s="31">
        <f>[14]soa_yield!$D13</f>
        <v>0.49170662857142855</v>
      </c>
      <c r="AF12" s="31">
        <f>[15]soa_yield!$D13</f>
        <v>0.49380710476190476</v>
      </c>
    </row>
    <row r="13" spans="1:32">
      <c r="A13" s="3" t="s">
        <v>26</v>
      </c>
      <c r="B13" s="31">
        <f>[12]soa_yield!$D14</f>
        <v>0.70650890940953293</v>
      </c>
      <c r="C13" s="31">
        <f>[13]soa_yield!$D14</f>
        <v>0.6638047170710597</v>
      </c>
      <c r="D13" s="31">
        <f>[11]soa_yield!$D14</f>
        <v>0.63703168119205889</v>
      </c>
      <c r="E13" s="31">
        <f t="array" ref="E13">[14]soa_yield!$D14</f>
        <v>0.64531049092069603</v>
      </c>
      <c r="F13" s="31">
        <f>[13]soa_yield!$D14</f>
        <v>0.6638047170710597</v>
      </c>
      <c r="K13" s="9"/>
      <c r="AA13" s="3" t="s">
        <v>26</v>
      </c>
      <c r="AB13" s="31">
        <f>[12]soa_yield!$D14</f>
        <v>0.70650890940953293</v>
      </c>
      <c r="AC13" s="31">
        <f>[13]soa_yield!$D14</f>
        <v>0.6638047170710597</v>
      </c>
      <c r="AD13" s="31">
        <f>[11]soa_yield!$D14</f>
        <v>0.63703168119205889</v>
      </c>
      <c r="AE13" s="31">
        <f>[14]soa_yield!$D14</f>
        <v>0.64531049092069603</v>
      </c>
      <c r="AF13" s="31">
        <f>[15]soa_yield!$D14</f>
        <v>0.54248896929865043</v>
      </c>
    </row>
    <row r="14" spans="1:32">
      <c r="A14" s="3" t="s">
        <v>27</v>
      </c>
      <c r="B14" s="31">
        <f>[12]soa_yield!$D15</f>
        <v>0.72787699164034703</v>
      </c>
      <c r="C14" s="31">
        <f>[13]soa_yield!$D15</f>
        <v>0.68860877531204967</v>
      </c>
      <c r="D14" s="31">
        <f>[11]soa_yield!$D15</f>
        <v>0.66963137285718322</v>
      </c>
      <c r="E14" s="31">
        <f t="array" ref="E14">[14]soa_yield!$D15</f>
        <v>0.67559126995460161</v>
      </c>
      <c r="F14" s="31">
        <f>[13]soa_yield!$D15</f>
        <v>0.68860877531204967</v>
      </c>
      <c r="K14" s="9"/>
      <c r="AA14" s="3" t="s">
        <v>27</v>
      </c>
      <c r="AB14" s="31">
        <f>[12]soa_yield!$D15</f>
        <v>0.72787699164034703</v>
      </c>
      <c r="AC14" s="31">
        <f>[13]soa_yield!$D15</f>
        <v>0.68860877531204967</v>
      </c>
      <c r="AD14" s="31">
        <f>[11]soa_yield!$D15</f>
        <v>0.66963137285718322</v>
      </c>
      <c r="AE14" s="31">
        <f>[14]soa_yield!$D15</f>
        <v>0.67559126995460161</v>
      </c>
      <c r="AF14" s="31">
        <f>[15]soa_yield!$D15</f>
        <v>0.56674506591861329</v>
      </c>
    </row>
    <row r="15" spans="1:32">
      <c r="A15" s="3" t="s">
        <v>64</v>
      </c>
      <c r="B15" s="31">
        <f>[12]soa_yield!$D16</f>
        <v>0.83967542399839701</v>
      </c>
      <c r="C15" s="31">
        <f>[13]soa_yield!$D16</f>
        <v>0.77771384828096179</v>
      </c>
      <c r="D15" s="31">
        <f>[11]soa_yield!$D16</f>
        <v>0.7438271955736947</v>
      </c>
      <c r="E15" s="31">
        <f t="array" ref="E15">[14]soa_yield!$D16</f>
        <v>0.74622423593081888</v>
      </c>
      <c r="F15" s="31">
        <f>[13]soa_yield!$D16</f>
        <v>0.77771384828096179</v>
      </c>
      <c r="AA15" s="3" t="s">
        <v>64</v>
      </c>
      <c r="AB15" s="31">
        <f>[12]soa_yield!$D16</f>
        <v>0.83967542399839701</v>
      </c>
      <c r="AC15" s="31">
        <f>[13]soa_yield!$D16</f>
        <v>0.77771384828096179</v>
      </c>
      <c r="AD15" s="31">
        <f>[11]soa_yield!$D16</f>
        <v>0.7438271955736947</v>
      </c>
      <c r="AE15" s="31">
        <f>[14]soa_yield!$D16</f>
        <v>0.74622423593081888</v>
      </c>
      <c r="AF15" s="31">
        <f>[15]soa_yield!$D16</f>
        <v>0.62567772864820626</v>
      </c>
    </row>
    <row r="16" spans="1:32">
      <c r="A16" s="3" t="s">
        <v>29</v>
      </c>
      <c r="B16" s="31">
        <f>[12]soa_yield!$D17</f>
        <v>4.6716346304669601E-2</v>
      </c>
      <c r="C16" s="31">
        <f>[13]soa_yield!$D17</f>
        <v>5.4640918176537011E-2</v>
      </c>
      <c r="D16" s="31">
        <f>[11]soa_yield!$D17</f>
        <v>6.5207368754027828E-2</v>
      </c>
      <c r="E16" s="31">
        <f t="array" ref="E16">[14]soa_yield!$D17</f>
        <v>6.1940369211597478E-2</v>
      </c>
      <c r="F16" s="31">
        <f>[13]soa_yield!$D17</f>
        <v>5.4640918176537011E-2</v>
      </c>
      <c r="AA16" s="3" t="s">
        <v>29</v>
      </c>
      <c r="AB16" s="31">
        <f>[12]soa_yield!$D17</f>
        <v>4.6716346304669601E-2</v>
      </c>
      <c r="AC16" s="31">
        <f>[13]soa_yield!$D17</f>
        <v>5.4640918176537011E-2</v>
      </c>
      <c r="AD16" s="31">
        <f>[11]soa_yield!$D17</f>
        <v>6.5207368754027828E-2</v>
      </c>
      <c r="AE16" s="31">
        <f>[14]soa_yield!$D17</f>
        <v>6.1940369211597478E-2</v>
      </c>
      <c r="AF16" s="31">
        <f>[15]soa_yield!$D17</f>
        <v>6.178813439694323E-2</v>
      </c>
    </row>
    <row r="17" spans="1:32">
      <c r="A17" s="34" t="s">
        <v>66</v>
      </c>
      <c r="AA17" s="34" t="s">
        <v>66</v>
      </c>
    </row>
    <row r="18" spans="1:32">
      <c r="A18" s="3" t="s">
        <v>65</v>
      </c>
      <c r="B18" s="35">
        <v>0.63239999999999996</v>
      </c>
      <c r="C18" s="35">
        <v>0.62</v>
      </c>
      <c r="D18" s="35">
        <v>0.54559999999999997</v>
      </c>
      <c r="E18" s="35">
        <v>0.34720000000000001</v>
      </c>
      <c r="F18" s="35">
        <v>0.186</v>
      </c>
      <c r="AA18" s="3" t="s">
        <v>65</v>
      </c>
      <c r="AB18" s="35">
        <v>0.63239999999999996</v>
      </c>
      <c r="AC18" s="35">
        <v>0.62</v>
      </c>
      <c r="AD18" s="35">
        <v>0.54559999999999997</v>
      </c>
      <c r="AE18" s="35">
        <v>0.34720000000000001</v>
      </c>
      <c r="AF18" s="35">
        <v>0.186</v>
      </c>
    </row>
    <row r="21" spans="1:32">
      <c r="AB21" t="s">
        <v>84</v>
      </c>
    </row>
    <row r="22" spans="1:32">
      <c r="A22" t="s">
        <v>77</v>
      </c>
      <c r="B22" s="19">
        <v>16</v>
      </c>
    </row>
    <row r="23" spans="1:32">
      <c r="A23" t="s">
        <v>13</v>
      </c>
      <c r="B23">
        <v>1</v>
      </c>
      <c r="C23">
        <v>2</v>
      </c>
      <c r="D23">
        <v>3</v>
      </c>
      <c r="E23" s="3">
        <v>4</v>
      </c>
      <c r="F23">
        <v>5</v>
      </c>
    </row>
    <row r="24" spans="1:32">
      <c r="A24" s="3" t="s">
        <v>70</v>
      </c>
      <c r="B24" s="32">
        <f>VLOOKUP($A24,[27]categories!$A$4:$X$11,$B$22,FALSE)</f>
        <v>770257154088.16589</v>
      </c>
      <c r="C24" s="32">
        <f>VLOOKUP($A24,[28]categories!$A$4:$X$11,$B$22,FALSE)</f>
        <v>800905667823.91724</v>
      </c>
      <c r="D24" s="32">
        <f>VLOOKUP($A24,[20]categories!$A$4:$X$11,$B$22,FALSE)</f>
        <v>724239786053.31787</v>
      </c>
      <c r="E24" s="32">
        <f>VLOOKUP($A24,[29]categories!$A$4:$X$11,$B$22,FALSE)</f>
        <v>747651683304.62988</v>
      </c>
      <c r="F24" s="32">
        <f>VLOOKUP($A24,[30]categories!$A$4:$X$11,$B$22,FALSE)</f>
        <v>851455041938.21814</v>
      </c>
      <c r="G24" s="3"/>
      <c r="H24" s="3"/>
      <c r="I24" s="3"/>
      <c r="J24" s="3"/>
      <c r="K24" s="7"/>
    </row>
    <row r="25" spans="1:32">
      <c r="A25" s="3" t="s">
        <v>71</v>
      </c>
      <c r="B25" s="32">
        <f>VLOOKUP($A25,[27]categories!$A$4:$X$11,$B$22,FALSE)</f>
        <v>700331700000</v>
      </c>
      <c r="C25" s="32">
        <f>VLOOKUP($A25,[28]categories!$A$4:$X$11,$B$22,FALSE)</f>
        <v>697632500000</v>
      </c>
      <c r="D25" s="32">
        <f>VLOOKUP($A25,[20]categories!$A$4:$X$11,$B$22,FALSE)</f>
        <v>678329300000</v>
      </c>
      <c r="E25" s="32">
        <f>VLOOKUP($A25,[29]categories!$A$4:$X$11,$B$22,FALSE)</f>
        <v>673298200000</v>
      </c>
      <c r="F25" s="32">
        <f>VLOOKUP($A25,[30]categories!$A$4:$X$11,$B$22,FALSE)</f>
        <v>681784900000</v>
      </c>
      <c r="G25" s="3"/>
      <c r="H25" s="3"/>
      <c r="I25" s="3"/>
      <c r="J25" s="3"/>
      <c r="K25" s="7"/>
    </row>
    <row r="26" spans="1:32">
      <c r="A26" s="3" t="s">
        <v>72</v>
      </c>
      <c r="B26" s="32">
        <f>VLOOKUP($A26,[27]categories!$A$4:$X$11,$B$22,FALSE)</f>
        <v>407095241.39999998</v>
      </c>
      <c r="C26" s="32">
        <f>VLOOKUP($A26,[28]categories!$A$4:$X$11,$B$22,FALSE)</f>
        <v>1986484307</v>
      </c>
      <c r="D26" s="32">
        <f>VLOOKUP($A26,[20]categories!$A$4:$X$11,$B$22,FALSE)</f>
        <v>2383743123</v>
      </c>
      <c r="E26" s="32">
        <f>VLOOKUP($A26,[29]categories!$A$4:$X$11,$B$22,FALSE)</f>
        <v>3636519818.6999998</v>
      </c>
      <c r="F26" s="32">
        <f>VLOOKUP($A26,[30]categories!$A$4:$X$11,$B$22,FALSE)</f>
        <v>6004731690.6000004</v>
      </c>
      <c r="G26" s="3"/>
      <c r="H26" s="3"/>
      <c r="I26" s="3"/>
      <c r="J26" s="3"/>
      <c r="K26" s="7"/>
    </row>
    <row r="27" spans="1:32">
      <c r="A27" s="3" t="s">
        <v>58</v>
      </c>
      <c r="B27" s="32">
        <f>VLOOKUP($A27,[27]categories!$A$4:$X$11,$B$22,FALSE)</f>
        <v>0</v>
      </c>
      <c r="C27" s="32">
        <f>VLOOKUP($A27,[28]categories!$A$4:$X$11,$B$22,FALSE)</f>
        <v>0</v>
      </c>
      <c r="D27" s="32">
        <f>VLOOKUP($A27,[20]categories!$A$4:$X$11,$B$22,FALSE)</f>
        <v>0</v>
      </c>
      <c r="E27" s="32">
        <f>VLOOKUP($A27,[29]categories!$A$4:$X$11,$B$22,FALSE)</f>
        <v>0</v>
      </c>
      <c r="F27" s="32">
        <f>VLOOKUP($A27,[30]categories!$A$4:$X$11,$B$22,FALSE)</f>
        <v>0</v>
      </c>
      <c r="G27" s="3"/>
      <c r="H27" s="3"/>
      <c r="I27" s="3"/>
      <c r="J27" s="3"/>
      <c r="K27" s="7"/>
    </row>
    <row r="28" spans="1:32">
      <c r="A28" s="3" t="s">
        <v>73</v>
      </c>
      <c r="B28" s="32">
        <f>VLOOKUP($A28,[27]categories!$A$4:$X$11,$B$22,FALSE)</f>
        <v>2643016391.0450001</v>
      </c>
      <c r="C28" s="32">
        <f>VLOOKUP($A28,[28]categories!$A$4:$X$11,$B$22,FALSE)</f>
        <v>4801169951.6199999</v>
      </c>
      <c r="D28" s="32">
        <f>VLOOKUP($A28,[20]categories!$A$4:$X$11,$B$22,FALSE)</f>
        <v>11873041400.921</v>
      </c>
      <c r="E28" s="32">
        <f>VLOOKUP($A28,[29]categories!$A$4:$X$11,$B$22,FALSE)</f>
        <v>11658707391.516001</v>
      </c>
      <c r="F28" s="32">
        <f>VLOOKUP($A28,[30]categories!$A$4:$X$11,$B$22,FALSE)</f>
        <v>11648011419.698</v>
      </c>
      <c r="G28" s="3"/>
      <c r="H28" s="3"/>
      <c r="I28" s="3"/>
      <c r="J28" s="3"/>
      <c r="K28" s="7"/>
    </row>
    <row r="29" spans="1:32">
      <c r="A29" s="3" t="s">
        <v>18</v>
      </c>
      <c r="B29" s="32">
        <f>VLOOKUP($A29,[27]categories!$A$4:$X$11,$B$22,FALSE)</f>
        <v>198400</v>
      </c>
      <c r="C29" s="32">
        <f>VLOOKUP($A29,[28]categories!$A$4:$X$11,$B$22,FALSE)</f>
        <v>956093</v>
      </c>
      <c r="D29" s="32">
        <f>VLOOKUP($A29,[20]categories!$A$4:$X$11,$B$22,FALSE)</f>
        <v>91317600000</v>
      </c>
      <c r="E29" s="32">
        <f>VLOOKUP($A29,[29]categories!$A$4:$X$11,$B$22,FALSE)</f>
        <v>93105300000</v>
      </c>
      <c r="F29" s="32">
        <f>VLOOKUP($A29,[30]categories!$A$4:$X$11,$B$22,FALSE)</f>
        <v>92991100000</v>
      </c>
      <c r="G29" s="3"/>
      <c r="H29" s="3"/>
      <c r="I29" s="3"/>
      <c r="J29" s="3"/>
      <c r="K29" s="3"/>
    </row>
    <row r="30" spans="1:32">
      <c r="A30" s="3" t="s">
        <v>74</v>
      </c>
      <c r="B30" s="32">
        <f>VLOOKUP($A30,[27]categories!$A$4:$X$11,$B$22,FALSE)</f>
        <v>53270375456.896362</v>
      </c>
      <c r="C30" s="32">
        <f>VLOOKUP($A30,[28]categories!$A$4:$X$11,$B$22,FALSE)</f>
        <v>118173024773.19032</v>
      </c>
      <c r="D30" s="32">
        <f>VLOOKUP($A30,[20]categories!$A$4:$X$11,$B$22,FALSE)</f>
        <v>176479553650.68445</v>
      </c>
      <c r="E30" s="32">
        <f>VLOOKUP($A30,[29]categories!$A$4:$X$11,$B$22,FALSE)</f>
        <v>193530376825.01395</v>
      </c>
      <c r="F30" s="32">
        <f>VLOOKUP($A30,[30]categories!$A$4:$X$11,$B$22,FALSE)</f>
        <v>226327694518.37982</v>
      </c>
      <c r="G30" s="3"/>
      <c r="H30" s="3"/>
      <c r="I30" s="3"/>
      <c r="J30" s="3"/>
      <c r="K30" s="3"/>
    </row>
    <row r="31" spans="1:32">
      <c r="A31" s="3" t="s">
        <v>83</v>
      </c>
      <c r="B31" s="32">
        <f>VLOOKUP($A31,[27]categories!$A$4:$X$11,$B$22,FALSE)</f>
        <v>321105000000</v>
      </c>
      <c r="C31" s="32">
        <f>VLOOKUP($A31,[28]categories!$A$4:$X$11,$B$22,FALSE)</f>
        <v>358891000000</v>
      </c>
      <c r="D31" s="32">
        <f>VLOOKUP($A31,[20]categories!$A$4:$X$11,$B$22,FALSE)</f>
        <v>342261000000</v>
      </c>
      <c r="E31" s="32">
        <f>VLOOKUP($A31,[29]categories!$A$4:$X$11,$B$22,FALSE)</f>
        <v>358454000000</v>
      </c>
      <c r="F31" s="32">
        <f>VLOOKUP($A31,[30]categories!$A$4:$X$11,$B$22,FALSE)</f>
        <v>430472000000</v>
      </c>
      <c r="G31" s="3"/>
      <c r="H31" s="3"/>
      <c r="I31" s="3"/>
      <c r="J31" s="3"/>
      <c r="K31" s="8"/>
    </row>
    <row r="32" spans="1:32">
      <c r="A32" t="s">
        <v>63</v>
      </c>
      <c r="B32" s="31">
        <f>[27]soa_yield!$D13</f>
        <v>0.58133314285714288</v>
      </c>
      <c r="C32" s="31">
        <f>[28]soa_yield!$D13</f>
        <v>0.53760821428571426</v>
      </c>
      <c r="D32" s="31">
        <f>[20]soa_yield!$D13</f>
        <v>0.49984875238095239</v>
      </c>
      <c r="E32" s="31">
        <f>[29]soa_yield!$D13</f>
        <v>0.48778491904761906</v>
      </c>
      <c r="F32" s="31">
        <f>[30]soa_yield!$D13</f>
        <v>0.48614153809523808</v>
      </c>
      <c r="K32" s="8"/>
    </row>
    <row r="33" spans="1:11">
      <c r="A33" s="3" t="s">
        <v>26</v>
      </c>
      <c r="B33" s="33">
        <f>[27]soa_yield!$D14</f>
        <v>0.77579230567814783</v>
      </c>
      <c r="C33" s="33">
        <f>[28]soa_yield!$D14</f>
        <v>0.72179086537438375</v>
      </c>
      <c r="D33" s="33">
        <f>[20]soa_yield!$D14</f>
        <v>0.67930748704498056</v>
      </c>
      <c r="E33" s="33">
        <f>[29]soa_yield!$D14</f>
        <v>0.65680374145223497</v>
      </c>
      <c r="F33" s="33">
        <f>[30]soa_yield!$D14</f>
        <v>0.62526886748340038</v>
      </c>
      <c r="K33" s="9"/>
    </row>
    <row r="34" spans="1:11">
      <c r="A34" s="3" t="s">
        <v>27</v>
      </c>
      <c r="B34" s="33">
        <f>[27]soa_yield!$D15</f>
        <v>0.80333082075720996</v>
      </c>
      <c r="C34" s="33">
        <f>[28]soa_yield!$D15</f>
        <v>0.75104208306955922</v>
      </c>
      <c r="D34" s="33">
        <f>[20]soa_yield!$D15</f>
        <v>0.71060354048044194</v>
      </c>
      <c r="E34" s="33">
        <f>[29]soa_yield!$D15</f>
        <v>0.68825180526984153</v>
      </c>
      <c r="F34" s="33">
        <f>[30]soa_yield!$D15</f>
        <v>0.65492085155148261</v>
      </c>
      <c r="K34" s="9"/>
    </row>
    <row r="35" spans="1:11">
      <c r="A35" s="3" t="s">
        <v>64</v>
      </c>
      <c r="B35" s="33">
        <f>[27]soa_yield!$D16</f>
        <v>0.9437356853103448</v>
      </c>
      <c r="C35" s="33">
        <f>[28]soa_yield!$D16</f>
        <v>0.86399963680180303</v>
      </c>
      <c r="D35" s="33">
        <f>[20]soa_yield!$D16</f>
        <v>0.80778734494796767</v>
      </c>
      <c r="E35" s="33">
        <f>[29]soa_yield!$D16</f>
        <v>0.77196644347029653</v>
      </c>
      <c r="F35" s="33">
        <f>[30]soa_yield!$D16</f>
        <v>0.716177108946771</v>
      </c>
    </row>
    <row r="36" spans="1:11">
      <c r="A36" s="3" t="s">
        <v>29</v>
      </c>
      <c r="B36" s="33">
        <f>[27]soa_yield!$D17</f>
        <v>5.0077482474085271E-2</v>
      </c>
      <c r="C36" s="33">
        <f>[28]soa_yield!$D17</f>
        <v>5.5342208662502911E-2</v>
      </c>
      <c r="D36" s="33">
        <f>[20]soa_yield!$D17</f>
        <v>6.0613462636058095E-2</v>
      </c>
      <c r="E36" s="33">
        <f>[29]soa_yield!$D17</f>
        <v>6.2475203410136376E-2</v>
      </c>
      <c r="F36" s="33">
        <f>[30]soa_yield!$D17</f>
        <v>6.2794430316421401E-2</v>
      </c>
    </row>
    <row r="37" spans="1:11">
      <c r="A37" s="34" t="s">
        <v>66</v>
      </c>
    </row>
    <row r="38" spans="1:11">
      <c r="A38" s="3" t="s">
        <v>65</v>
      </c>
      <c r="B38" s="35">
        <f>B18</f>
        <v>0.63239999999999996</v>
      </c>
      <c r="C38" s="35">
        <v>0.62</v>
      </c>
      <c r="D38" s="35">
        <v>0.54559999999999997</v>
      </c>
      <c r="E38" s="35">
        <v>0.34720000000000001</v>
      </c>
      <c r="F38" s="35">
        <v>0.186</v>
      </c>
    </row>
    <row r="42" spans="1:11">
      <c r="A42" t="s">
        <v>78</v>
      </c>
      <c r="B42" s="19">
        <v>21</v>
      </c>
    </row>
    <row r="43" spans="1:11">
      <c r="A43" t="s">
        <v>13</v>
      </c>
      <c r="B43">
        <v>1</v>
      </c>
      <c r="C43">
        <v>2</v>
      </c>
      <c r="D43">
        <v>3</v>
      </c>
      <c r="E43" s="3">
        <v>4</v>
      </c>
      <c r="F43">
        <v>5</v>
      </c>
    </row>
    <row r="44" spans="1:11">
      <c r="A44" s="3" t="s">
        <v>70</v>
      </c>
      <c r="B44" s="32">
        <f>VLOOKUP($A44,[27]categories!$A$4:$X$11,$B$42,FALSE)</f>
        <v>1337196801506.4304</v>
      </c>
      <c r="C44" s="32">
        <f>VLOOKUP($A44,[28]categories!$A$4:$X$11,$B$42,FALSE)</f>
        <v>1482611926923.1699</v>
      </c>
      <c r="D44" s="32">
        <f>VLOOKUP($A44,[20]categories!$A$4:$X$11,$B$42,FALSE)</f>
        <v>1351755585096.8799</v>
      </c>
      <c r="E44" s="32">
        <f>VLOOKUP($A44,[29]categories!$A$4:$X$11,$B$42,FALSE)</f>
        <v>1415182618109.8613</v>
      </c>
      <c r="F44" s="32">
        <f>VLOOKUP($A44,[30]categories!$A$4:$X$11,$B$42,FALSE)</f>
        <v>1668939045452.2261</v>
      </c>
    </row>
    <row r="45" spans="1:11">
      <c r="A45" s="3" t="s">
        <v>71</v>
      </c>
      <c r="B45" s="32">
        <f>VLOOKUP($A45,[27]categories!$A$4:$X$11,$B$42,FALSE)</f>
        <v>788384700000</v>
      </c>
      <c r="C45" s="32">
        <f>VLOOKUP($A45,[28]categories!$A$4:$X$11,$B$42,FALSE)</f>
        <v>802686300000</v>
      </c>
      <c r="D45" s="32">
        <f>VLOOKUP($A45,[20]categories!$A$4:$X$11,$B$42,FALSE)</f>
        <v>773219300000</v>
      </c>
      <c r="E45" s="32">
        <f>VLOOKUP($A45,[29]categories!$A$4:$X$11,$B$42,FALSE)</f>
        <v>764169800000</v>
      </c>
      <c r="F45" s="32">
        <f>VLOOKUP($A45,[30]categories!$A$4:$X$11,$B$42,FALSE)</f>
        <v>782391300000</v>
      </c>
    </row>
    <row r="46" spans="1:11">
      <c r="A46" s="3" t="s">
        <v>72</v>
      </c>
      <c r="B46" s="32">
        <f>VLOOKUP($A46,[27]categories!$A$4:$X$11,$B$42,FALSE)</f>
        <v>32262999</v>
      </c>
      <c r="C46" s="32">
        <f>VLOOKUP($A46,[28]categories!$A$4:$X$11,$B$42,FALSE)</f>
        <v>162485493</v>
      </c>
      <c r="D46" s="32">
        <f>VLOOKUP($A46,[20]categories!$A$4:$X$11,$B$42,FALSE)</f>
        <v>197024987</v>
      </c>
      <c r="E46" s="32">
        <f>VLOOKUP($A46,[29]categories!$A$4:$X$11,$B$42,FALSE)</f>
        <v>297601585.52999997</v>
      </c>
      <c r="F46" s="32">
        <f>VLOOKUP($A46,[30]categories!$A$4:$X$11,$B$42,FALSE)</f>
        <v>503810322</v>
      </c>
    </row>
    <row r="47" spans="1:11">
      <c r="A47" s="3" t="s">
        <v>58</v>
      </c>
      <c r="B47" s="32">
        <f>VLOOKUP($A47,[27]categories!$A$4:$X$11,$B$42,FALSE)</f>
        <v>0</v>
      </c>
      <c r="C47" s="32">
        <f>VLOOKUP($A47,[28]categories!$A$4:$X$11,$B$42,FALSE)</f>
        <v>0</v>
      </c>
      <c r="D47" s="32">
        <f>VLOOKUP($A47,[20]categories!$A$4:$X$11,$B$42,FALSE)</f>
        <v>0</v>
      </c>
      <c r="E47" s="32">
        <f>VLOOKUP($A47,[29]categories!$A$4:$X$11,$B$42,FALSE)</f>
        <v>0</v>
      </c>
      <c r="F47" s="32">
        <f>VLOOKUP($A47,[30]categories!$A$4:$X$11,$B$42,FALSE)</f>
        <v>0</v>
      </c>
    </row>
    <row r="48" spans="1:11">
      <c r="A48" s="3" t="s">
        <v>73</v>
      </c>
      <c r="B48" s="32">
        <f>VLOOKUP($A48,[27]categories!$A$4:$X$11,$B$42,FALSE)</f>
        <v>3249072983.9899998</v>
      </c>
      <c r="C48" s="32">
        <f>VLOOKUP($A48,[28]categories!$A$4:$X$11,$B$42,FALSE)</f>
        <v>6009407271.7200003</v>
      </c>
      <c r="D48" s="32">
        <f>VLOOKUP($A48,[20]categories!$A$4:$X$11,$B$42,FALSE)</f>
        <v>15200398996.640001</v>
      </c>
      <c r="E48" s="32">
        <f>VLOOKUP($A48,[29]categories!$A$4:$X$11,$B$42,FALSE)</f>
        <v>14932818817.220001</v>
      </c>
      <c r="F48" s="32">
        <f>VLOOKUP($A48,[30]categories!$A$4:$X$11,$B$42,FALSE)</f>
        <v>14945508223.68</v>
      </c>
    </row>
    <row r="49" spans="1:6">
      <c r="A49" s="3" t="s">
        <v>18</v>
      </c>
      <c r="B49" s="32">
        <f>VLOOKUP($A49,[27]categories!$A$4:$X$11,$B$42,FALSE)</f>
        <v>824553</v>
      </c>
      <c r="C49" s="32">
        <f>VLOOKUP($A49,[28]categories!$A$4:$X$11,$B$42,FALSE)</f>
        <v>4065210</v>
      </c>
      <c r="D49" s="32">
        <f>VLOOKUP($A49,[20]categories!$A$4:$X$11,$B$42,FALSE)</f>
        <v>96994300000</v>
      </c>
      <c r="E49" s="32">
        <f>VLOOKUP($A49,[29]categories!$A$4:$X$11,$B$42,FALSE)</f>
        <v>99227300000</v>
      </c>
      <c r="F49" s="32">
        <f>VLOOKUP($A49,[30]categories!$A$4:$X$11,$B$42,FALSE)</f>
        <v>99158900000</v>
      </c>
    </row>
    <row r="50" spans="1:6">
      <c r="A50" s="3" t="s">
        <v>74</v>
      </c>
      <c r="B50" s="32">
        <f>VLOOKUP($A50,[27]categories!$A$4:$X$11,$B$42,FALSE)</f>
        <v>306918979517.09595</v>
      </c>
      <c r="C50" s="32">
        <f>VLOOKUP($A50,[28]categories!$A$4:$X$11,$B$42,FALSE)</f>
        <v>361886758206.5174</v>
      </c>
      <c r="D50" s="32">
        <f>VLOOKUP($A50,[20]categories!$A$4:$X$11,$B$42,FALSE)</f>
        <v>342990883387.81299</v>
      </c>
      <c r="E50" s="32">
        <f>VLOOKUP($A50,[29]categories!$A$4:$X$11,$B$42,FALSE)</f>
        <v>355047188031.3241</v>
      </c>
      <c r="F50" s="32">
        <f>VLOOKUP($A50,[30]categories!$A$4:$X$11,$B$42,FALSE)</f>
        <v>383335091217.23224</v>
      </c>
    </row>
    <row r="51" spans="1:6">
      <c r="A51" s="3" t="s">
        <v>83</v>
      </c>
      <c r="B51" s="32">
        <f>VLOOKUP($A51,[27]categories!$A$4:$X$11,$B$42,FALSE)</f>
        <v>917930000000</v>
      </c>
      <c r="C51" s="32">
        <f>VLOOKUP($A51,[28]categories!$A$4:$X$11,$B$42,FALSE)</f>
        <v>978960000000</v>
      </c>
      <c r="D51" s="32">
        <f>VLOOKUP($A51,[20]categories!$A$4:$X$11,$B$42,FALSE)</f>
        <v>898547000000</v>
      </c>
      <c r="E51" s="32">
        <f>VLOOKUP($A51,[29]categories!$A$4:$X$11,$B$42,FALSE)</f>
        <v>919142000000</v>
      </c>
      <c r="F51" s="32">
        <f>VLOOKUP($A51,[30]categories!$A$4:$X$11,$B$42,FALSE)</f>
        <v>1085410000000</v>
      </c>
    </row>
    <row r="52" spans="1:6">
      <c r="A52" t="s">
        <v>63</v>
      </c>
      <c r="B52" s="31">
        <f>B32</f>
        <v>0.58133314285714288</v>
      </c>
      <c r="C52" s="31">
        <f t="shared" ref="C52:F52" si="0">C32</f>
        <v>0.53760821428571426</v>
      </c>
      <c r="D52" s="31">
        <f t="shared" si="0"/>
        <v>0.49984875238095239</v>
      </c>
      <c r="E52" s="31">
        <f t="shared" si="0"/>
        <v>0.48778491904761906</v>
      </c>
      <c r="F52" s="31">
        <f t="shared" si="0"/>
        <v>0.48614153809523808</v>
      </c>
    </row>
    <row r="53" spans="1:6">
      <c r="A53" s="3" t="s">
        <v>26</v>
      </c>
      <c r="B53" s="8">
        <f t="shared" ref="B53:F53" si="1">B33</f>
        <v>0.77579230567814783</v>
      </c>
      <c r="C53" s="8">
        <f t="shared" si="1"/>
        <v>0.72179086537438375</v>
      </c>
      <c r="D53" s="8">
        <f t="shared" si="1"/>
        <v>0.67930748704498056</v>
      </c>
      <c r="E53" s="8">
        <f t="shared" si="1"/>
        <v>0.65680374145223497</v>
      </c>
      <c r="F53" s="8">
        <f t="shared" si="1"/>
        <v>0.62526886748340038</v>
      </c>
    </row>
    <row r="54" spans="1:6">
      <c r="A54" s="3" t="s">
        <v>27</v>
      </c>
      <c r="B54" s="8">
        <f t="shared" ref="B54:F54" si="2">B34</f>
        <v>0.80333082075720996</v>
      </c>
      <c r="C54" s="8">
        <f t="shared" si="2"/>
        <v>0.75104208306955922</v>
      </c>
      <c r="D54" s="8">
        <f t="shared" si="2"/>
        <v>0.71060354048044194</v>
      </c>
      <c r="E54" s="8">
        <f t="shared" si="2"/>
        <v>0.68825180526984153</v>
      </c>
      <c r="F54" s="8">
        <f t="shared" si="2"/>
        <v>0.65492085155148261</v>
      </c>
    </row>
    <row r="55" spans="1:6">
      <c r="A55" s="3" t="s">
        <v>64</v>
      </c>
      <c r="B55" s="8">
        <f t="shared" ref="B55:F55" si="3">B35</f>
        <v>0.9437356853103448</v>
      </c>
      <c r="C55" s="8">
        <f t="shared" si="3"/>
        <v>0.86399963680180303</v>
      </c>
      <c r="D55" s="8">
        <f t="shared" si="3"/>
        <v>0.80778734494796767</v>
      </c>
      <c r="E55" s="8">
        <f t="shared" si="3"/>
        <v>0.77196644347029653</v>
      </c>
      <c r="F55" s="8">
        <f t="shared" si="3"/>
        <v>0.716177108946771</v>
      </c>
    </row>
    <row r="56" spans="1:6">
      <c r="A56" s="3" t="s">
        <v>29</v>
      </c>
      <c r="B56" s="8">
        <f t="shared" ref="B56:F56" si="4">B36</f>
        <v>5.0077482474085271E-2</v>
      </c>
      <c r="C56" s="8">
        <f t="shared" si="4"/>
        <v>5.5342208662502911E-2</v>
      </c>
      <c r="D56" s="8">
        <f t="shared" si="4"/>
        <v>6.0613462636058095E-2</v>
      </c>
      <c r="E56" s="8">
        <f t="shared" si="4"/>
        <v>6.2475203410136376E-2</v>
      </c>
      <c r="F56" s="8">
        <f t="shared" si="4"/>
        <v>6.2794430316421401E-2</v>
      </c>
    </row>
    <row r="57" spans="1:6">
      <c r="A57" s="34" t="s">
        <v>66</v>
      </c>
    </row>
    <row r="58" spans="1:6">
      <c r="A58" s="3" t="s">
        <v>65</v>
      </c>
      <c r="B58" s="35">
        <f>B38</f>
        <v>0.63239999999999996</v>
      </c>
      <c r="C58" s="35">
        <f>C38</f>
        <v>0.62</v>
      </c>
      <c r="D58" s="35">
        <f>D38</f>
        <v>0.54559999999999997</v>
      </c>
      <c r="E58" s="35">
        <f>E38</f>
        <v>0.34720000000000001</v>
      </c>
      <c r="F58" s="35">
        <f>F38</f>
        <v>0.186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9"/>
  <sheetViews>
    <sheetView zoomScale="75" zoomScaleNormal="75" workbookViewId="0">
      <selection activeCell="A10" sqref="A10"/>
    </sheetView>
  </sheetViews>
  <sheetFormatPr defaultRowHeight="15"/>
  <cols>
    <col min="1" max="1" width="20.85546875" bestFit="1" customWidth="1"/>
    <col min="4" max="5" width="9.140625" hidden="1" customWidth="1"/>
    <col min="6" max="6" width="9.42578125" customWidth="1"/>
    <col min="7" max="7" width="1.7109375" customWidth="1"/>
    <col min="8" max="9" width="9.42578125" customWidth="1"/>
    <col min="10" max="11" width="9.42578125" hidden="1" customWidth="1"/>
    <col min="12" max="12" width="9.42578125" customWidth="1"/>
    <col min="13" max="13" width="1.7109375" customWidth="1"/>
    <col min="14" max="15" width="9.42578125" customWidth="1"/>
    <col min="16" max="17" width="9.42578125" hidden="1" customWidth="1"/>
    <col min="18" max="18" width="9.42578125" customWidth="1"/>
    <col min="19" max="19" width="1.7109375" customWidth="1"/>
    <col min="20" max="21" width="9.42578125" customWidth="1"/>
    <col min="22" max="23" width="9.42578125" hidden="1" customWidth="1"/>
    <col min="24" max="25" width="9.42578125" customWidth="1"/>
  </cols>
  <sheetData>
    <row r="1" spans="1:30">
      <c r="B1" s="37" t="s">
        <v>79</v>
      </c>
      <c r="H1" s="37" t="s">
        <v>80</v>
      </c>
      <c r="N1" s="37" t="s">
        <v>81</v>
      </c>
      <c r="T1" s="37" t="s">
        <v>82</v>
      </c>
    </row>
    <row r="2" spans="1:30">
      <c r="A2" t="s">
        <v>77</v>
      </c>
      <c r="B2" s="19">
        <v>16</v>
      </c>
      <c r="H2" s="19">
        <v>17</v>
      </c>
      <c r="N2" s="19">
        <v>18</v>
      </c>
      <c r="T2" s="19">
        <v>19</v>
      </c>
    </row>
    <row r="3" spans="1:30">
      <c r="A3" t="s">
        <v>13</v>
      </c>
      <c r="B3">
        <v>1</v>
      </c>
      <c r="C3">
        <v>3</v>
      </c>
      <c r="D3">
        <f t="shared" ref="D3:E3" si="0">C3+1</f>
        <v>4</v>
      </c>
      <c r="E3">
        <f t="shared" si="0"/>
        <v>5</v>
      </c>
      <c r="F3">
        <v>5</v>
      </c>
      <c r="H3">
        <f>B3</f>
        <v>1</v>
      </c>
      <c r="I3">
        <f t="shared" ref="I3:L3" si="1">C3</f>
        <v>3</v>
      </c>
      <c r="J3">
        <f t="shared" si="1"/>
        <v>4</v>
      </c>
      <c r="K3">
        <f t="shared" si="1"/>
        <v>5</v>
      </c>
      <c r="L3">
        <f t="shared" si="1"/>
        <v>5</v>
      </c>
      <c r="N3">
        <f>H3</f>
        <v>1</v>
      </c>
      <c r="O3">
        <f t="shared" ref="O3:R3" si="2">I3</f>
        <v>3</v>
      </c>
      <c r="P3">
        <f t="shared" si="2"/>
        <v>4</v>
      </c>
      <c r="Q3">
        <f t="shared" si="2"/>
        <v>5</v>
      </c>
      <c r="R3">
        <f t="shared" si="2"/>
        <v>5</v>
      </c>
      <c r="T3">
        <f>N3</f>
        <v>1</v>
      </c>
      <c r="U3">
        <f t="shared" ref="U3:X3" si="3">O3</f>
        <v>3</v>
      </c>
      <c r="V3">
        <f t="shared" si="3"/>
        <v>4</v>
      </c>
      <c r="W3">
        <f t="shared" si="3"/>
        <v>5</v>
      </c>
      <c r="X3">
        <f t="shared" si="3"/>
        <v>5</v>
      </c>
    </row>
    <row r="4" spans="1:30">
      <c r="A4" s="3" t="s">
        <v>70</v>
      </c>
      <c r="B4" s="32">
        <f>VLOOKUP($A4,[27]categories!$A$4:$X$11,B$2,FALSE)</f>
        <v>770257154088.16589</v>
      </c>
      <c r="C4" s="32">
        <f>VLOOKUP($A4,[20]categories!$A$4:$X$11,$B$2,FALSE)</f>
        <v>724239786053.31787</v>
      </c>
      <c r="D4" s="32"/>
      <c r="E4" s="32"/>
      <c r="F4" s="32">
        <f>VLOOKUP($A4,[30]categories!$A$4:$X$11,$B$2,FALSE)</f>
        <v>851455041938.21814</v>
      </c>
      <c r="H4" s="32">
        <f>VLOOKUP($A4,[27]categories!$A$4:$X$11,H$2,FALSE)</f>
        <v>7555463636566.8203</v>
      </c>
      <c r="I4" s="32">
        <f>VLOOKUP($A4,[20]categories!$A$4:$X$11,$H$2,FALSE)</f>
        <v>5404470932234.7275</v>
      </c>
      <c r="J4" s="32"/>
      <c r="K4" s="32"/>
      <c r="L4" s="32">
        <f>VLOOKUP($A4,[30]categories!$A$4:$X$11,$H$2,FALSE)</f>
        <v>4076772162130.252</v>
      </c>
      <c r="N4" s="32">
        <f>VLOOKUP($A4,[27]categories!$A$4:$X$11,N$2,FALSE)</f>
        <v>213823255540.39929</v>
      </c>
      <c r="O4" s="32">
        <f>VLOOKUP($A4,[20]categories!$A$4:$X$11,$N$2,FALSE)</f>
        <v>194592951954.77716</v>
      </c>
      <c r="P4" s="32"/>
      <c r="Q4" s="32"/>
      <c r="R4" s="32">
        <f>VLOOKUP($A4,[30]categories!$A$4:$X$11,$N$2,FALSE)</f>
        <v>208917127927.27521</v>
      </c>
      <c r="T4" s="32">
        <f>VLOOKUP($A4,[27]categories!$A$4:$X$11,T$2,FALSE)</f>
        <v>8539544046195.3838</v>
      </c>
      <c r="U4" s="32">
        <f>VLOOKUP($A4,[20]categories!$A$4:$X$11,$T$2,FALSE)</f>
        <v>6323303670242.8184</v>
      </c>
      <c r="V4" s="32"/>
      <c r="W4" s="32"/>
      <c r="X4" s="32">
        <f>VLOOKUP($A4,[30]categories!$A$4:$X$11,$T$2,FALSE)</f>
        <v>5137144331995.7451</v>
      </c>
      <c r="Z4" s="3"/>
      <c r="AA4" s="3"/>
      <c r="AB4" s="3"/>
      <c r="AC4" s="3"/>
      <c r="AD4" s="7"/>
    </row>
    <row r="5" spans="1:30">
      <c r="A5" s="3" t="s">
        <v>71</v>
      </c>
      <c r="B5" s="32">
        <f>VLOOKUP($A5,[27]categories!$A$4:$X$11,B$2,FALSE)</f>
        <v>700331700000</v>
      </c>
      <c r="C5" s="32">
        <f>VLOOKUP($A5,[20]categories!$A$4:$X$11,$B$2,FALSE)</f>
        <v>678329300000</v>
      </c>
      <c r="D5" s="32"/>
      <c r="E5" s="32"/>
      <c r="F5" s="32">
        <f>VLOOKUP($A5,[30]categories!$A$4:$X$11,$B$2,FALSE)</f>
        <v>681784900000</v>
      </c>
      <c r="H5" s="32">
        <f>VLOOKUP($A5,[27]categories!$A$4:$X$11,H$2,FALSE)</f>
        <v>1709398800000</v>
      </c>
      <c r="I5" s="32">
        <f>VLOOKUP($A5,[20]categories!$A$4:$X$11,$H$2,FALSE)</f>
        <v>1270542700000</v>
      </c>
      <c r="J5" s="32"/>
      <c r="K5" s="32"/>
      <c r="L5" s="32">
        <f>VLOOKUP($A5,[30]categories!$A$4:$X$11,$H$2,FALSE)</f>
        <v>1149594500000</v>
      </c>
      <c r="N5" s="32">
        <f>VLOOKUP($A5,[27]categories!$A$4:$X$11,N$2,FALSE)</f>
        <v>455800800000</v>
      </c>
      <c r="O5" s="32">
        <f>VLOOKUP($A5,[20]categories!$A$4:$X$11,$N$2,FALSE)</f>
        <v>437928580000</v>
      </c>
      <c r="P5" s="32"/>
      <c r="Q5" s="32"/>
      <c r="R5" s="32">
        <f>VLOOKUP($A5,[30]categories!$A$4:$X$11,$N$2,FALSE)</f>
        <v>440645300000</v>
      </c>
      <c r="T5" s="32">
        <f>VLOOKUP($A5,[27]categories!$A$4:$X$11,T$2,FALSE)</f>
        <v>2865531300000</v>
      </c>
      <c r="U5" s="32">
        <f>VLOOKUP($A5,[20]categories!$A$4:$X$11,$T$2,FALSE)</f>
        <v>2386800580000</v>
      </c>
      <c r="V5" s="32"/>
      <c r="W5" s="32"/>
      <c r="X5" s="32">
        <f>VLOOKUP($A5,[30]categories!$A$4:$X$11,$T$2,FALSE)</f>
        <v>2272024700000</v>
      </c>
      <c r="Z5" s="3"/>
      <c r="AA5" s="3"/>
      <c r="AB5" s="3"/>
      <c r="AC5" s="3"/>
      <c r="AD5" s="7"/>
    </row>
    <row r="6" spans="1:30">
      <c r="A6" s="3" t="s">
        <v>72</v>
      </c>
      <c r="B6" s="32">
        <f>VLOOKUP($A6,[27]categories!$A$4:$X$11,B$2,FALSE)</f>
        <v>407095241.39999998</v>
      </c>
      <c r="C6" s="32">
        <f>VLOOKUP($A6,[20]categories!$A$4:$X$11,$B$2,FALSE)</f>
        <v>2383743123</v>
      </c>
      <c r="D6" s="32"/>
      <c r="E6" s="32"/>
      <c r="F6" s="32">
        <f>VLOOKUP($A6,[30]categories!$A$4:$X$11,$B$2,FALSE)</f>
        <v>6004731690.6000004</v>
      </c>
      <c r="H6" s="32">
        <f>VLOOKUP($A6,[27]categories!$A$4:$X$11,H$2,FALSE)</f>
        <v>137781871.30000001</v>
      </c>
      <c r="I6" s="32">
        <f>VLOOKUP($A6,[20]categories!$A$4:$X$11,$H$2,FALSE)</f>
        <v>249859001.80000001</v>
      </c>
      <c r="J6" s="32"/>
      <c r="K6" s="32"/>
      <c r="L6" s="32">
        <f>VLOOKUP($A6,[30]categories!$A$4:$X$11,$H$2,FALSE)</f>
        <v>566611918.75</v>
      </c>
      <c r="N6" s="32">
        <f>VLOOKUP($A6,[27]categories!$A$4:$X$11,N$2,FALSE)</f>
        <v>677932.23899999994</v>
      </c>
      <c r="O6" s="32">
        <f>VLOOKUP($A6,[20]categories!$A$4:$X$11,$N$2,FALSE)</f>
        <v>3962967.27</v>
      </c>
      <c r="P6" s="32"/>
      <c r="Q6" s="32"/>
      <c r="R6" s="32">
        <f>VLOOKUP($A6,[30]categories!$A$4:$X$11,$N$2,FALSE)</f>
        <v>9982617.5130000003</v>
      </c>
      <c r="T6" s="32">
        <f>VLOOKUP($A6,[27]categories!$A$4:$X$11,T$2,FALSE)</f>
        <v>545555044.93900001</v>
      </c>
      <c r="U6" s="32">
        <f>VLOOKUP($A6,[20]categories!$A$4:$X$11,$T$2,FALSE)</f>
        <v>2637565092.0700002</v>
      </c>
      <c r="V6" s="32"/>
      <c r="W6" s="32"/>
      <c r="X6" s="32">
        <f>VLOOKUP($A6,[30]categories!$A$4:$X$11,$T$2,FALSE)</f>
        <v>6581326226.8629999</v>
      </c>
      <c r="Z6" s="3"/>
      <c r="AA6" s="3"/>
      <c r="AB6" s="3"/>
      <c r="AC6" s="3"/>
      <c r="AD6" s="7"/>
    </row>
    <row r="7" spans="1:30">
      <c r="A7" s="3" t="s">
        <v>58</v>
      </c>
      <c r="B7" s="32">
        <f>VLOOKUP($A7,[27]categories!$A$4:$X$11,B$2,FALSE)</f>
        <v>0</v>
      </c>
      <c r="C7" s="32">
        <f>VLOOKUP($A7,[20]categories!$A$4:$X$11,$B$2,FALSE)</f>
        <v>0</v>
      </c>
      <c r="D7" s="32"/>
      <c r="E7" s="32"/>
      <c r="F7" s="32">
        <f>VLOOKUP($A7,[30]categories!$A$4:$X$11,$B$2,FALSE)</f>
        <v>0</v>
      </c>
      <c r="H7" s="32">
        <f>VLOOKUP($A7,[27]categories!$A$4:$X$11,H$2,FALSE)</f>
        <v>350710106840</v>
      </c>
      <c r="I7" s="32">
        <f>VLOOKUP($A7,[20]categories!$A$4:$X$11,$H$2,FALSE)</f>
        <v>577616912800</v>
      </c>
      <c r="J7" s="32"/>
      <c r="K7" s="32"/>
      <c r="L7" s="32">
        <f>VLOOKUP($A7,[30]categories!$A$4:$X$11,$H$2,FALSE)</f>
        <v>1293425622120</v>
      </c>
      <c r="N7" s="32">
        <f>VLOOKUP($A7,[27]categories!$A$4:$X$11,N$2,FALSE)</f>
        <v>3656727341.6999998</v>
      </c>
      <c r="O7" s="32">
        <f>VLOOKUP($A7,[20]categories!$A$4:$X$11,$N$2,FALSE)</f>
        <v>17025528158</v>
      </c>
      <c r="P7" s="32"/>
      <c r="Q7" s="32"/>
      <c r="R7" s="32">
        <f>VLOOKUP($A7,[30]categories!$A$4:$X$11,$N$2,FALSE)</f>
        <v>43960999808.300003</v>
      </c>
      <c r="T7" s="32">
        <f>VLOOKUP($A7,[27]categories!$A$4:$X$11,T$2,FALSE)</f>
        <v>354366834181.70001</v>
      </c>
      <c r="U7" s="32">
        <f>VLOOKUP($A7,[20]categories!$A$4:$X$11,$T$2,FALSE)</f>
        <v>594642440958</v>
      </c>
      <c r="V7" s="32"/>
      <c r="W7" s="32"/>
      <c r="X7" s="32">
        <f>VLOOKUP($A7,[30]categories!$A$4:$X$11,$T$2,FALSE)</f>
        <v>1337386621928.3</v>
      </c>
      <c r="Z7" s="3"/>
      <c r="AA7" s="3"/>
      <c r="AB7" s="3"/>
      <c r="AC7" s="3"/>
      <c r="AD7" s="7"/>
    </row>
    <row r="8" spans="1:30">
      <c r="A8" s="3" t="s">
        <v>73</v>
      </c>
      <c r="B8" s="32">
        <f>VLOOKUP($A8,[27]categories!$A$4:$X$11,B$2,FALSE)</f>
        <v>2643016391.0450001</v>
      </c>
      <c r="C8" s="32">
        <f>VLOOKUP($A8,[20]categories!$A$4:$X$11,$B$2,FALSE)</f>
        <v>11873041400.921</v>
      </c>
      <c r="D8" s="32"/>
      <c r="E8" s="32"/>
      <c r="F8" s="32">
        <f>VLOOKUP($A8,[30]categories!$A$4:$X$11,$B$2,FALSE)</f>
        <v>11648011419.698</v>
      </c>
      <c r="H8" s="32">
        <f>VLOOKUP($A8,[27]categories!$A$4:$X$11,H$2,FALSE)</f>
        <v>363702270.63099998</v>
      </c>
      <c r="I8" s="32">
        <f>VLOOKUP($A8,[20]categories!$A$4:$X$11,$H$2,FALSE)</f>
        <v>1252639235.0037003</v>
      </c>
      <c r="J8" s="32"/>
      <c r="K8" s="32"/>
      <c r="L8" s="32">
        <f>VLOOKUP($A8,[30]categories!$A$4:$X$11,$H$2,FALSE)</f>
        <v>1106278685.9988</v>
      </c>
      <c r="N8" s="32">
        <f>VLOOKUP($A8,[27]categories!$A$4:$X$11,N$2,FALSE)</f>
        <v>729362966.32959998</v>
      </c>
      <c r="O8" s="32">
        <f>VLOOKUP($A8,[20]categories!$A$4:$X$11,$N$2,FALSE)</f>
        <v>3218844603.8559999</v>
      </c>
      <c r="P8" s="32"/>
      <c r="Q8" s="32"/>
      <c r="R8" s="32">
        <f>VLOOKUP($A8,[30]categories!$A$4:$X$11,$N$2,FALSE)</f>
        <v>3156999705.0318003</v>
      </c>
      <c r="T8" s="32">
        <f>VLOOKUP($A8,[27]categories!$A$4:$X$11,T$2,FALSE)</f>
        <v>3736081628.0056</v>
      </c>
      <c r="U8" s="32">
        <f>VLOOKUP($A8,[20]categories!$A$4:$X$11,$T$2,FALSE)</f>
        <v>16344525239.780699</v>
      </c>
      <c r="V8" s="32"/>
      <c r="W8" s="32"/>
      <c r="X8" s="32">
        <f>VLOOKUP($A8,[30]categories!$A$4:$X$11,$T$2,FALSE)</f>
        <v>15911289810.7286</v>
      </c>
      <c r="Z8" s="3"/>
      <c r="AA8" s="3"/>
      <c r="AB8" s="3"/>
      <c r="AC8" s="3"/>
      <c r="AD8" s="7"/>
    </row>
    <row r="9" spans="1:30">
      <c r="A9" s="3" t="s">
        <v>18</v>
      </c>
      <c r="B9" s="32">
        <f>VLOOKUP($A9,[27]categories!$A$4:$X$11,B$2,FALSE)</f>
        <v>198400</v>
      </c>
      <c r="C9" s="32">
        <f>VLOOKUP($A9,[20]categories!$A$4:$X$11,$B$2,FALSE)</f>
        <v>91317600000</v>
      </c>
      <c r="D9" s="32"/>
      <c r="E9" s="32"/>
      <c r="F9" s="32">
        <f>VLOOKUP($A9,[30]categories!$A$4:$X$11,$B$2,FALSE)</f>
        <v>92991100000</v>
      </c>
      <c r="H9" s="32">
        <f>VLOOKUP($A9,[27]categories!$A$4:$X$11,H$2,FALSE)</f>
        <v>441.59199999999998</v>
      </c>
      <c r="I9" s="32">
        <f>VLOOKUP($A9,[20]categories!$A$4:$X$11,$H$2,FALSE)</f>
        <v>62815800</v>
      </c>
      <c r="J9" s="32"/>
      <c r="K9" s="32"/>
      <c r="L9" s="32">
        <f>VLOOKUP($A9,[30]categories!$A$4:$X$11,$H$2,FALSE)</f>
        <v>57584200</v>
      </c>
      <c r="N9" s="32">
        <f>VLOOKUP($A9,[27]categories!$A$4:$X$11,N$2,FALSE)</f>
        <v>1047.81</v>
      </c>
      <c r="O9" s="32">
        <f>VLOOKUP($A9,[20]categories!$A$4:$X$11,$N$2,FALSE)</f>
        <v>195419000</v>
      </c>
      <c r="P9" s="32"/>
      <c r="Q9" s="32"/>
      <c r="R9" s="32">
        <f>VLOOKUP($A9,[30]categories!$A$4:$X$11,$N$2,FALSE)</f>
        <v>198998000</v>
      </c>
      <c r="T9" s="32">
        <f>VLOOKUP($A9,[27]categories!$A$4:$X$11,T$2,FALSE)</f>
        <v>199889.402</v>
      </c>
      <c r="U9" s="32">
        <f>VLOOKUP($A9,[20]categories!$A$4:$X$11,$T$2,FALSE)</f>
        <v>91575834800</v>
      </c>
      <c r="V9" s="32"/>
      <c r="W9" s="32"/>
      <c r="X9" s="32">
        <f>VLOOKUP($A9,[30]categories!$A$4:$X$11,$T$2,FALSE)</f>
        <v>93247682200</v>
      </c>
      <c r="Z9" s="3"/>
      <c r="AA9" s="3"/>
      <c r="AB9" s="3"/>
      <c r="AC9" s="3"/>
      <c r="AD9" s="7"/>
    </row>
    <row r="10" spans="1:30">
      <c r="A10" s="3" t="s">
        <v>74</v>
      </c>
      <c r="B10" s="32">
        <f>VLOOKUP($A10,[27]categories!$A$4:$X$11,B$2,FALSE)</f>
        <v>53270375456.896362</v>
      </c>
      <c r="C10" s="32">
        <f>VLOOKUP($A10,[20]categories!$A$4:$X$11,$B$2,FALSE)</f>
        <v>176479553650.68445</v>
      </c>
      <c r="D10" s="32"/>
      <c r="E10" s="32"/>
      <c r="F10" s="32">
        <f>VLOOKUP($A10,[30]categories!$A$4:$X$11,$B$2,FALSE)</f>
        <v>226327694518.37982</v>
      </c>
      <c r="H10" s="32">
        <f>VLOOKUP($A10,[27]categories!$A$4:$X$11,H$2,FALSE)</f>
        <v>34699856010.42791</v>
      </c>
      <c r="I10" s="32">
        <f>VLOOKUP($A10,[20]categories!$A$4:$X$11,$H$2,FALSE)</f>
        <v>66015808601.549553</v>
      </c>
      <c r="J10" s="32"/>
      <c r="K10" s="32"/>
      <c r="L10" s="32">
        <f>VLOOKUP($A10,[30]categories!$A$4:$X$11,$H$2,FALSE)</f>
        <v>28183600628.074997</v>
      </c>
      <c r="N10" s="32">
        <f>VLOOKUP($A10,[27]categories!$A$4:$X$11,N$2,FALSE)</f>
        <v>5720268383.5741968</v>
      </c>
      <c r="O10" s="32">
        <f>VLOOKUP($A10,[20]categories!$A$4:$X$11,$N$2,FALSE)</f>
        <v>15112112522.79228</v>
      </c>
      <c r="P10" s="32"/>
      <c r="Q10" s="32"/>
      <c r="R10" s="32">
        <f>VLOOKUP($A10,[30]categories!$A$4:$X$11,$N$2,FALSE)</f>
        <v>17111450736.52739</v>
      </c>
      <c r="T10" s="32">
        <f>VLOOKUP($A10,[27]categories!$A$4:$X$11,T$2,FALSE)</f>
        <v>93690499850.898346</v>
      </c>
      <c r="U10" s="32">
        <f>VLOOKUP($A10,[20]categories!$A$4:$X$11,$T$2,FALSE)</f>
        <v>257607474775.02606</v>
      </c>
      <c r="V10" s="32"/>
      <c r="W10" s="32"/>
      <c r="X10" s="32">
        <f>VLOOKUP($A10,[30]categories!$A$4:$X$11,$T$2,FALSE)</f>
        <v>271622745882.98218</v>
      </c>
      <c r="Z10" s="3"/>
      <c r="AA10" s="3"/>
      <c r="AB10" s="3"/>
      <c r="AC10" s="3"/>
      <c r="AD10" s="7"/>
    </row>
    <row r="11" spans="1:30">
      <c r="A11" s="3" t="s">
        <v>68</v>
      </c>
      <c r="B11" s="32" t="e">
        <f>VLOOKUP($A11,[27]categories!$A$4:$X$11,B$2,FALSE)</f>
        <v>#N/A</v>
      </c>
      <c r="C11" s="32" t="e">
        <f>VLOOKUP($A11,[20]categories!$A$4:$X$11,$B$2,FALSE)</f>
        <v>#N/A</v>
      </c>
      <c r="D11" s="32"/>
      <c r="E11" s="32"/>
      <c r="F11" s="32" t="e">
        <f>VLOOKUP($A11,[30]categories!$A$4:$X$11,$B$2,FALSE)</f>
        <v>#N/A</v>
      </c>
      <c r="H11" s="32" t="e">
        <f>VLOOKUP($A11,[27]categories!$A$4:$X$11,H$2,FALSE)</f>
        <v>#N/A</v>
      </c>
      <c r="I11" s="32" t="e">
        <f>VLOOKUP($A11,[20]categories!$A$4:$X$11,$H$2,FALSE)</f>
        <v>#N/A</v>
      </c>
      <c r="J11" s="32"/>
      <c r="K11" s="32"/>
      <c r="L11" s="32" t="e">
        <f>VLOOKUP($A11,[30]categories!$A$4:$X$11,$H$2,FALSE)</f>
        <v>#N/A</v>
      </c>
      <c r="N11" s="32" t="e">
        <f>VLOOKUP($A11,[27]categories!$A$4:$X$11,N$2,FALSE)</f>
        <v>#N/A</v>
      </c>
      <c r="O11" s="32" t="e">
        <f>VLOOKUP($A11,[20]categories!$A$4:$X$11,$N$2,FALSE)</f>
        <v>#N/A</v>
      </c>
      <c r="P11" s="32"/>
      <c r="Q11" s="32"/>
      <c r="R11" s="32" t="e">
        <f>VLOOKUP($A11,[30]categories!$A$4:$X$11,$N$2,FALSE)</f>
        <v>#N/A</v>
      </c>
      <c r="T11" s="32" t="e">
        <f>VLOOKUP($A11,[27]categories!$A$4:$X$11,T$2,FALSE)</f>
        <v>#N/A</v>
      </c>
      <c r="U11" s="32" t="e">
        <f>VLOOKUP($A11,[20]categories!$A$4:$X$11,$T$2,FALSE)</f>
        <v>#N/A</v>
      </c>
      <c r="V11" s="32"/>
      <c r="W11" s="32"/>
      <c r="X11" s="32" t="e">
        <f>VLOOKUP($A11,[30]categories!$A$4:$X$11,$T$2,FALSE)</f>
        <v>#N/A</v>
      </c>
      <c r="Z11" s="3"/>
      <c r="AA11" s="3"/>
      <c r="AB11" s="3"/>
      <c r="AC11" s="3"/>
      <c r="AD11" s="3"/>
    </row>
    <row r="12" spans="1:30">
      <c r="A12" s="3"/>
    </row>
    <row r="19" spans="26:30">
      <c r="Z19" s="3"/>
      <c r="AA19" s="3"/>
      <c r="AB19" s="3"/>
      <c r="AC19" s="3"/>
      <c r="AD19" s="7"/>
    </row>
    <row r="20" spans="26:30">
      <c r="Z20" s="3"/>
      <c r="AA20" s="3"/>
      <c r="AB20" s="3"/>
      <c r="AC20" s="3"/>
      <c r="AD20" s="7"/>
    </row>
    <row r="21" spans="26:30">
      <c r="Z21" s="3"/>
      <c r="AA21" s="3"/>
      <c r="AB21" s="3"/>
      <c r="AC21" s="3"/>
      <c r="AD21" s="7"/>
    </row>
    <row r="22" spans="26:30">
      <c r="Z22" s="3"/>
      <c r="AA22" s="3"/>
      <c r="AB22" s="3"/>
      <c r="AC22" s="3"/>
      <c r="AD22" s="7"/>
    </row>
    <row r="23" spans="26:30">
      <c r="Z23" s="3"/>
      <c r="AA23" s="3"/>
      <c r="AB23" s="3"/>
      <c r="AC23" s="3"/>
      <c r="AD23" s="7"/>
    </row>
    <row r="24" spans="26:30">
      <c r="Z24" s="3"/>
      <c r="AA24" s="3"/>
      <c r="AB24" s="3"/>
      <c r="AC24" s="3"/>
      <c r="AD24" s="3"/>
    </row>
    <row r="25" spans="26:30">
      <c r="Z25" s="3"/>
      <c r="AA25" s="3"/>
      <c r="AB25" s="3"/>
      <c r="AC25" s="3"/>
      <c r="AD25" s="3"/>
    </row>
    <row r="26" spans="26:30">
      <c r="Z26" s="3"/>
      <c r="AA26" s="3"/>
      <c r="AB26" s="3"/>
      <c r="AC26" s="3"/>
      <c r="AD26" s="8"/>
    </row>
    <row r="27" spans="26:30">
      <c r="AD27" s="8"/>
    </row>
    <row r="28" spans="26:30">
      <c r="AD28" s="9"/>
    </row>
    <row r="29" spans="26:30">
      <c r="AD29" s="9"/>
    </row>
    <row r="39" spans="26:30">
      <c r="Z39" s="3"/>
      <c r="AA39" s="3"/>
      <c r="AB39" s="3"/>
      <c r="AC39" s="3"/>
      <c r="AD39" s="7"/>
    </row>
    <row r="40" spans="26:30">
      <c r="Z40" s="3"/>
      <c r="AA40" s="3"/>
      <c r="AB40" s="3"/>
      <c r="AC40" s="3"/>
      <c r="AD40" s="7"/>
    </row>
    <row r="41" spans="26:30">
      <c r="Z41" s="3"/>
      <c r="AA41" s="3"/>
      <c r="AB41" s="3"/>
      <c r="AC41" s="3"/>
      <c r="AD41" s="7"/>
    </row>
    <row r="42" spans="26:30">
      <c r="Z42" s="3"/>
      <c r="AA42" s="3"/>
      <c r="AB42" s="3"/>
      <c r="AC42" s="3"/>
      <c r="AD42" s="7"/>
    </row>
    <row r="43" spans="26:30">
      <c r="Z43" s="3"/>
      <c r="AA43" s="3"/>
      <c r="AB43" s="3"/>
      <c r="AC43" s="3"/>
      <c r="AD43" s="7"/>
    </row>
    <row r="44" spans="26:30">
      <c r="Z44" s="3"/>
      <c r="AA44" s="3"/>
      <c r="AB44" s="3"/>
      <c r="AC44" s="3"/>
      <c r="AD44" s="3"/>
    </row>
    <row r="45" spans="26:30">
      <c r="Z45" s="3"/>
      <c r="AA45" s="3"/>
      <c r="AB45" s="3"/>
      <c r="AC45" s="3"/>
      <c r="AD45" s="3"/>
    </row>
    <row r="46" spans="26:30">
      <c r="Z46" s="3"/>
      <c r="AA46" s="3"/>
      <c r="AB46" s="3"/>
      <c r="AC46" s="3"/>
      <c r="AD46" s="8"/>
    </row>
    <row r="47" spans="26:30">
      <c r="AD47" s="8"/>
    </row>
    <row r="48" spans="26:30">
      <c r="AD48" s="9"/>
    </row>
    <row r="49" spans="26:30">
      <c r="AD49" s="9"/>
    </row>
    <row r="59" spans="26:30">
      <c r="Z59" s="3"/>
      <c r="AA59" s="3"/>
      <c r="AB59" s="3"/>
      <c r="AC59" s="3"/>
      <c r="AD59" s="7"/>
    </row>
    <row r="60" spans="26:30">
      <c r="Z60" s="3"/>
      <c r="AA60" s="3"/>
      <c r="AB60" s="3"/>
      <c r="AC60" s="3"/>
      <c r="AD60" s="7"/>
    </row>
    <row r="61" spans="26:30">
      <c r="Z61" s="3"/>
      <c r="AA61" s="3"/>
      <c r="AB61" s="3"/>
      <c r="AC61" s="3"/>
      <c r="AD61" s="7"/>
    </row>
    <row r="62" spans="26:30">
      <c r="Z62" s="3"/>
      <c r="AA62" s="3"/>
      <c r="AB62" s="3"/>
      <c r="AC62" s="3"/>
      <c r="AD62" s="7"/>
    </row>
    <row r="63" spans="26:30">
      <c r="Z63" s="3"/>
      <c r="AA63" s="3"/>
      <c r="AB63" s="3"/>
      <c r="AC63" s="3"/>
      <c r="AD63" s="7"/>
    </row>
    <row r="64" spans="26:30">
      <c r="Z64" s="3"/>
      <c r="AA64" s="3"/>
      <c r="AB64" s="3"/>
      <c r="AC64" s="3"/>
      <c r="AD64" s="3"/>
    </row>
    <row r="65" spans="26:30">
      <c r="Z65" s="3"/>
      <c r="AA65" s="3"/>
      <c r="AB65" s="3"/>
      <c r="AC65" s="3"/>
      <c r="AD65" s="3"/>
    </row>
    <row r="66" spans="26:30">
      <c r="Z66" s="3"/>
      <c r="AA66" s="3"/>
      <c r="AB66" s="3"/>
      <c r="AC66" s="3"/>
      <c r="AD66" s="8"/>
    </row>
    <row r="67" spans="26:30">
      <c r="AD67" s="8"/>
    </row>
    <row r="68" spans="26:30">
      <c r="AD68" s="9"/>
    </row>
    <row r="69" spans="26:30">
      <c r="AD69" s="9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activeCell="D5" sqref="D5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C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38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ca="1" si="9"/>
        <v>#VALUE!</v>
      </c>
      <c r="D30" s="14" t="e">
        <f t="shared" ca="1" si="9"/>
        <v>#VALUE!</v>
      </c>
      <c r="E30" s="14" t="e">
        <f t="shared" ca="1" si="9"/>
        <v>#VALUE!</v>
      </c>
      <c r="F30" s="21" t="e">
        <f t="shared" ca="1" si="9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9"/>
        <v>#VALUE!</v>
      </c>
      <c r="D31" s="14" t="e">
        <f t="shared" ca="1" si="9"/>
        <v>#VALUE!</v>
      </c>
      <c r="E31" s="14" t="e">
        <f t="shared" ca="1" si="9"/>
        <v>#VALUE!</v>
      </c>
      <c r="F31" s="21" t="e">
        <f t="shared" ca="1" si="9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9"/>
        <v>#VALUE!</v>
      </c>
      <c r="D32" s="14" t="e">
        <f t="shared" ca="1" si="9"/>
        <v>#VALUE!</v>
      </c>
      <c r="E32" s="14" t="e">
        <f t="shared" ca="1" si="9"/>
        <v>#VALUE!</v>
      </c>
      <c r="F32" s="21" t="e">
        <f t="shared" ca="1" si="9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9"/>
        <v>#VALUE!</v>
      </c>
      <c r="D33" s="14" t="e">
        <f t="shared" ca="1" si="9"/>
        <v>#VALUE!</v>
      </c>
      <c r="E33" s="14" t="e">
        <f t="shared" ca="1" si="9"/>
        <v>#VALUE!</v>
      </c>
      <c r="F33" s="21" t="e">
        <f t="shared" ca="1" si="9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9"/>
        <v>#VALUE!</v>
      </c>
      <c r="D34" s="14" t="e">
        <f t="shared" ca="1" si="9"/>
        <v>#VALUE!</v>
      </c>
      <c r="E34" s="14" t="e">
        <f t="shared" ca="1" si="9"/>
        <v>#VALUE!</v>
      </c>
      <c r="F34" s="21" t="e">
        <f t="shared" ca="1" si="9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9"/>
        <v>#VALUE!</v>
      </c>
      <c r="D35" s="14" t="e">
        <f t="shared" ca="1" si="9"/>
        <v>#VALUE!</v>
      </c>
      <c r="E35" s="14" t="e">
        <f t="shared" ca="1" si="9"/>
        <v>#VALUE!</v>
      </c>
      <c r="F35" s="21" t="e">
        <f t="shared" ca="1" si="9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9"/>
        <v>#VALUE!</v>
      </c>
      <c r="D36" s="14" t="e">
        <f t="shared" ca="1" si="9"/>
        <v>#VALUE!</v>
      </c>
      <c r="E36" s="14" t="e">
        <f t="shared" ca="1" si="9"/>
        <v>#VALUE!</v>
      </c>
      <c r="F36" s="21" t="e">
        <f t="shared" ca="1" si="9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9"/>
        <v>#VALUE!</v>
      </c>
      <c r="D37" s="14" t="e">
        <f t="shared" ca="1" si="9"/>
        <v>#VALUE!</v>
      </c>
      <c r="E37" s="14" t="e">
        <f t="shared" ca="1" si="9"/>
        <v>#VALUE!</v>
      </c>
      <c r="F37" s="21" t="e">
        <f t="shared" ca="1" si="9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9"/>
        <v>#VALUE!</v>
      </c>
      <c r="D38" s="17" t="e">
        <f t="shared" ca="1" si="9"/>
        <v>#VALUE!</v>
      </c>
      <c r="E38" s="17" t="e">
        <f t="shared" ca="1" si="9"/>
        <v>#VALUE!</v>
      </c>
      <c r="F38" s="22" t="e">
        <f t="shared" ca="1" si="9"/>
        <v>#VALUE!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CN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29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ref="C30:F38" ca="1" si="11">IF(C6&gt;0,C18/C6,0)</f>
        <v>#VALUE!</v>
      </c>
      <c r="D30" s="14" t="e">
        <f t="shared" ca="1" si="11"/>
        <v>#VALUE!</v>
      </c>
      <c r="E30" s="14" t="e">
        <f t="shared" ca="1" si="11"/>
        <v>#VALUE!</v>
      </c>
      <c r="F30" s="21" t="e">
        <f t="shared" ca="1" si="11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11"/>
        <v>#VALUE!</v>
      </c>
      <c r="D31" s="14" t="e">
        <f t="shared" ca="1" si="11"/>
        <v>#VALUE!</v>
      </c>
      <c r="E31" s="14" t="e">
        <f t="shared" ca="1" si="11"/>
        <v>#VALUE!</v>
      </c>
      <c r="F31" s="21" t="e">
        <f t="shared" ca="1" si="11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11"/>
        <v>#VALUE!</v>
      </c>
      <c r="D32" s="14" t="e">
        <f t="shared" ca="1" si="11"/>
        <v>#VALUE!</v>
      </c>
      <c r="E32" s="14" t="e">
        <f t="shared" ca="1" si="11"/>
        <v>#VALUE!</v>
      </c>
      <c r="F32" s="21" t="e">
        <f t="shared" ca="1" si="11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11"/>
        <v>#VALUE!</v>
      </c>
      <c r="D33" s="14" t="e">
        <f t="shared" ca="1" si="11"/>
        <v>#VALUE!</v>
      </c>
      <c r="E33" s="14" t="e">
        <f t="shared" ca="1" si="11"/>
        <v>#VALUE!</v>
      </c>
      <c r="F33" s="21" t="e">
        <f t="shared" ca="1" si="11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11"/>
        <v>#VALUE!</v>
      </c>
      <c r="D34" s="14" t="e">
        <f t="shared" ca="1" si="11"/>
        <v>#VALUE!</v>
      </c>
      <c r="E34" s="14" t="e">
        <f t="shared" ca="1" si="11"/>
        <v>#VALUE!</v>
      </c>
      <c r="F34" s="21" t="e">
        <f t="shared" ca="1" si="11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11"/>
        <v>#VALUE!</v>
      </c>
      <c r="D35" s="14" t="e">
        <f t="shared" ca="1" si="11"/>
        <v>#VALUE!</v>
      </c>
      <c r="E35" s="14" t="e">
        <f t="shared" ca="1" si="11"/>
        <v>#VALUE!</v>
      </c>
      <c r="F35" s="21" t="e">
        <f t="shared" ca="1" si="11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11"/>
        <v>#VALUE!</v>
      </c>
      <c r="D36" s="14" t="e">
        <f t="shared" ca="1" si="11"/>
        <v>#VALUE!</v>
      </c>
      <c r="E36" s="14" t="e">
        <f t="shared" ca="1" si="11"/>
        <v>#VALUE!</v>
      </c>
      <c r="F36" s="21" t="e">
        <f t="shared" ca="1" si="11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11"/>
        <v>#VALUE!</v>
      </c>
      <c r="D37" s="14" t="e">
        <f t="shared" ca="1" si="11"/>
        <v>#VALUE!</v>
      </c>
      <c r="E37" s="14" t="e">
        <f t="shared" ca="1" si="11"/>
        <v>#VALUE!</v>
      </c>
      <c r="F37" s="21" t="e">
        <f t="shared" ca="1" si="11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11"/>
        <v>#VALUE!</v>
      </c>
      <c r="D38" s="17" t="e">
        <f t="shared" ca="1" si="11"/>
        <v>#VALUE!</v>
      </c>
      <c r="E38" s="17" t="e">
        <f t="shared" ca="1" si="11"/>
        <v>#VALUE!</v>
      </c>
      <c r="F38" s="22" t="e">
        <f t="shared" ca="1" si="11"/>
        <v>#VALUE!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HC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29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F38" ca="1" si="10">IF(B6&gt;0,B18/B6,0)</f>
        <v>#VALUE!</v>
      </c>
      <c r="C30" s="14" t="e">
        <f t="shared" ca="1" si="10"/>
        <v>#VALUE!</v>
      </c>
      <c r="D30" s="14" t="e">
        <f t="shared" ca="1" si="10"/>
        <v>#VALUE!</v>
      </c>
      <c r="E30" s="14" t="e">
        <f t="shared" ca="1" si="10"/>
        <v>#VALUE!</v>
      </c>
      <c r="F30" s="21" t="e">
        <f t="shared" ca="1" si="10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10"/>
        <v>#VALUE!</v>
      </c>
      <c r="D31" s="14" t="e">
        <f t="shared" ca="1" si="10"/>
        <v>#VALUE!</v>
      </c>
      <c r="E31" s="14" t="e">
        <f t="shared" ca="1" si="10"/>
        <v>#VALUE!</v>
      </c>
      <c r="F31" s="21" t="e">
        <f t="shared" ca="1" si="10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10"/>
        <v>#VALUE!</v>
      </c>
      <c r="D32" s="14" t="e">
        <f t="shared" ca="1" si="10"/>
        <v>#VALUE!</v>
      </c>
      <c r="E32" s="14" t="e">
        <f t="shared" ca="1" si="10"/>
        <v>#VALUE!</v>
      </c>
      <c r="F32" s="21" t="e">
        <f t="shared" ca="1" si="10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10"/>
        <v>#VALUE!</v>
      </c>
      <c r="D33" s="14" t="e">
        <f t="shared" ca="1" si="10"/>
        <v>#VALUE!</v>
      </c>
      <c r="E33" s="14" t="e">
        <f t="shared" ca="1" si="10"/>
        <v>#VALUE!</v>
      </c>
      <c r="F33" s="21" t="e">
        <f t="shared" ca="1" si="10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10"/>
        <v>#VALUE!</v>
      </c>
      <c r="D34" s="14" t="e">
        <f t="shared" ca="1" si="10"/>
        <v>#VALUE!</v>
      </c>
      <c r="E34" s="14" t="e">
        <f t="shared" ca="1" si="10"/>
        <v>#VALUE!</v>
      </c>
      <c r="F34" s="21" t="e">
        <f t="shared" ca="1" si="10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10"/>
        <v>#VALUE!</v>
      </c>
      <c r="D35" s="14" t="e">
        <f t="shared" ca="1" si="10"/>
        <v>#VALUE!</v>
      </c>
      <c r="E35" s="14" t="e">
        <f t="shared" ca="1" si="10"/>
        <v>#VALUE!</v>
      </c>
      <c r="F35" s="21" t="e">
        <f t="shared" ca="1" si="10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10"/>
        <v>#VALUE!</v>
      </c>
      <c r="D36" s="14" t="e">
        <f t="shared" ca="1" si="10"/>
        <v>#VALUE!</v>
      </c>
      <c r="E36" s="14" t="e">
        <f t="shared" ca="1" si="10"/>
        <v>#VALUE!</v>
      </c>
      <c r="F36" s="21" t="e">
        <f t="shared" ca="1" si="10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10"/>
        <v>#VALUE!</v>
      </c>
      <c r="D37" s="14" t="e">
        <f t="shared" ca="1" si="10"/>
        <v>#VALUE!</v>
      </c>
      <c r="E37" s="14" t="e">
        <f t="shared" ca="1" si="10"/>
        <v>#VALUE!</v>
      </c>
      <c r="F37" s="21" t="e">
        <f t="shared" ca="1" si="10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10"/>
        <v>#VALUE!</v>
      </c>
      <c r="D38" s="17" t="e">
        <f t="shared" ca="1" si="10"/>
        <v>#VALUE!</v>
      </c>
      <c r="E38" s="17" t="e">
        <f t="shared" ca="1" si="10"/>
        <v>#VALUE!</v>
      </c>
      <c r="F38" s="22" t="e">
        <f t="shared" ca="1" si="10"/>
        <v>#VALUE!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HN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29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ref="C30:F30" ca="1" si="11">IF(C6&gt;0,C18/C6,0)</f>
        <v>#VALUE!</v>
      </c>
      <c r="D30" s="14" t="e">
        <f t="shared" ca="1" si="11"/>
        <v>#VALUE!</v>
      </c>
      <c r="E30" s="14" t="e">
        <f t="shared" ca="1" si="11"/>
        <v>#VALUE!</v>
      </c>
      <c r="F30" s="21" t="e">
        <f t="shared" ca="1" si="11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ref="C31:F31" ca="1" si="12">IF(C7&gt;0,C19/C7,0)</f>
        <v>#VALUE!</v>
      </c>
      <c r="D31" s="14" t="e">
        <f t="shared" ca="1" si="12"/>
        <v>#VALUE!</v>
      </c>
      <c r="E31" s="14" t="e">
        <f t="shared" ca="1" si="12"/>
        <v>#VALUE!</v>
      </c>
      <c r="F31" s="21" t="e">
        <f t="shared" ca="1" si="12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ref="C32:F32" ca="1" si="13">IF(C8&gt;0,C20/C8,0)</f>
        <v>#VALUE!</v>
      </c>
      <c r="D32" s="14" t="e">
        <f t="shared" ca="1" si="13"/>
        <v>#VALUE!</v>
      </c>
      <c r="E32" s="14" t="e">
        <f t="shared" ca="1" si="13"/>
        <v>#VALUE!</v>
      </c>
      <c r="F32" s="21" t="e">
        <f t="shared" ca="1" si="13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ref="C33:F33" ca="1" si="14">IF(C9&gt;0,C21/C9,0)</f>
        <v>#VALUE!</v>
      </c>
      <c r="D33" s="14" t="e">
        <f t="shared" ca="1" si="14"/>
        <v>#VALUE!</v>
      </c>
      <c r="E33" s="14" t="e">
        <f t="shared" ca="1" si="14"/>
        <v>#VALUE!</v>
      </c>
      <c r="F33" s="21" t="e">
        <f t="shared" ca="1" si="14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ref="C34:F34" ca="1" si="15">IF(C10&gt;0,C22/C10,0)</f>
        <v>#VALUE!</v>
      </c>
      <c r="D34" s="14" t="e">
        <f t="shared" ca="1" si="15"/>
        <v>#VALUE!</v>
      </c>
      <c r="E34" s="14" t="e">
        <f t="shared" ca="1" si="15"/>
        <v>#VALUE!</v>
      </c>
      <c r="F34" s="21" t="e">
        <f t="shared" ca="1" si="15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ref="C35:F35" ca="1" si="16">IF(C11&gt;0,C23/C11,0)</f>
        <v>#VALUE!</v>
      </c>
      <c r="D35" s="14" t="e">
        <f t="shared" ca="1" si="16"/>
        <v>#VALUE!</v>
      </c>
      <c r="E35" s="14" t="e">
        <f t="shared" ca="1" si="16"/>
        <v>#VALUE!</v>
      </c>
      <c r="F35" s="21" t="e">
        <f t="shared" ca="1" si="16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ref="C36:F36" ca="1" si="17">IF(C12&gt;0,C24/C12,0)</f>
        <v>#VALUE!</v>
      </c>
      <c r="D36" s="14" t="e">
        <f t="shared" ca="1" si="17"/>
        <v>#VALUE!</v>
      </c>
      <c r="E36" s="14" t="e">
        <f t="shared" ca="1" si="17"/>
        <v>#VALUE!</v>
      </c>
      <c r="F36" s="21" t="e">
        <f t="shared" ca="1" si="17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ref="C37:F37" ca="1" si="18">IF(C13&gt;0,C25/C13,0)</f>
        <v>#VALUE!</v>
      </c>
      <c r="D37" s="14" t="e">
        <f t="shared" ca="1" si="18"/>
        <v>#VALUE!</v>
      </c>
      <c r="E37" s="14" t="e">
        <f t="shared" ca="1" si="18"/>
        <v>#VALUE!</v>
      </c>
      <c r="F37" s="21" t="e">
        <f t="shared" ca="1" si="18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ref="C38:F38" ca="1" si="19">IF(C14&gt;0,C26/C14,0)</f>
        <v>#VALUE!</v>
      </c>
      <c r="D38" s="17" t="e">
        <f t="shared" ca="1" si="19"/>
        <v>#VALUE!</v>
      </c>
      <c r="E38" s="17" t="e">
        <f t="shared" ca="1" si="19"/>
        <v>#VALUE!</v>
      </c>
      <c r="F38" s="22" t="e">
        <f t="shared" ca="1" si="19"/>
        <v>#VALUE!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NN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29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F38" ca="1" si="10">IF(B6&gt;0,B18/B6,0)</f>
        <v>#VALUE!</v>
      </c>
      <c r="C30" s="14" t="e">
        <f t="shared" ca="1" si="10"/>
        <v>#VALUE!</v>
      </c>
      <c r="D30" s="14" t="e">
        <f t="shared" ca="1" si="10"/>
        <v>#VALUE!</v>
      </c>
      <c r="E30" s="14" t="e">
        <f t="shared" ca="1" si="10"/>
        <v>#VALUE!</v>
      </c>
      <c r="F30" s="21" t="e">
        <f t="shared" ca="1" si="10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10"/>
        <v>#VALUE!</v>
      </c>
      <c r="D31" s="14" t="e">
        <f t="shared" ca="1" si="10"/>
        <v>#VALUE!</v>
      </c>
      <c r="E31" s="14" t="e">
        <f t="shared" ca="1" si="10"/>
        <v>#VALUE!</v>
      </c>
      <c r="F31" s="21" t="e">
        <f t="shared" ca="1" si="10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10"/>
        <v>#VALUE!</v>
      </c>
      <c r="D32" s="14" t="e">
        <f t="shared" ca="1" si="10"/>
        <v>#VALUE!</v>
      </c>
      <c r="E32" s="14" t="e">
        <f t="shared" ca="1" si="10"/>
        <v>#VALUE!</v>
      </c>
      <c r="F32" s="21" t="e">
        <f t="shared" ca="1" si="10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10"/>
        <v>#VALUE!</v>
      </c>
      <c r="D33" s="14" t="e">
        <f t="shared" ca="1" si="10"/>
        <v>#VALUE!</v>
      </c>
      <c r="E33" s="14" t="e">
        <f t="shared" ca="1" si="10"/>
        <v>#VALUE!</v>
      </c>
      <c r="F33" s="21" t="e">
        <f t="shared" ca="1" si="10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10"/>
        <v>#VALUE!</v>
      </c>
      <c r="D34" s="14" t="e">
        <f t="shared" ca="1" si="10"/>
        <v>#VALUE!</v>
      </c>
      <c r="E34" s="14" t="e">
        <f t="shared" ca="1" si="10"/>
        <v>#VALUE!</v>
      </c>
      <c r="F34" s="21" t="e">
        <f t="shared" ca="1" si="10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10"/>
        <v>#VALUE!</v>
      </c>
      <c r="D35" s="14" t="e">
        <f t="shared" ca="1" si="10"/>
        <v>#VALUE!</v>
      </c>
      <c r="E35" s="14" t="e">
        <f t="shared" ca="1" si="10"/>
        <v>#VALUE!</v>
      </c>
      <c r="F35" s="21" t="e">
        <f t="shared" ca="1" si="10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10"/>
        <v>#VALUE!</v>
      </c>
      <c r="D36" s="14" t="e">
        <f t="shared" ca="1" si="10"/>
        <v>#VALUE!</v>
      </c>
      <c r="E36" s="14" t="e">
        <f t="shared" ca="1" si="10"/>
        <v>#VALUE!</v>
      </c>
      <c r="F36" s="21" t="e">
        <f t="shared" ca="1" si="10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10"/>
        <v>#VALUE!</v>
      </c>
      <c r="D37" s="14" t="e">
        <f t="shared" ca="1" si="10"/>
        <v>#VALUE!</v>
      </c>
      <c r="E37" s="14" t="e">
        <f t="shared" ca="1" si="10"/>
        <v>#VALUE!</v>
      </c>
      <c r="F37" s="21" t="e">
        <f t="shared" ca="1" si="10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10"/>
        <v>#VALUE!</v>
      </c>
      <c r="D38" s="17" t="e">
        <f t="shared" ca="1" si="10"/>
        <v>#VALUE!</v>
      </c>
      <c r="E38" s="17" t="e">
        <f t="shared" ca="1" si="10"/>
        <v>#VALUE!</v>
      </c>
      <c r="F38" s="22" t="e">
        <f t="shared" ca="1" si="10"/>
        <v>#VALUE!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HCN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38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ca="1" si="9"/>
        <v>#VALUE!</v>
      </c>
      <c r="D30" s="14" t="e">
        <f t="shared" ca="1" si="9"/>
        <v>#VALUE!</v>
      </c>
      <c r="E30" s="14" t="e">
        <f t="shared" ca="1" si="9"/>
        <v>#VALUE!</v>
      </c>
      <c r="F30" s="21" t="e">
        <f t="shared" ca="1" si="9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9"/>
        <v>#VALUE!</v>
      </c>
      <c r="D31" s="14" t="e">
        <f t="shared" ca="1" si="9"/>
        <v>#VALUE!</v>
      </c>
      <c r="E31" s="14" t="e">
        <f t="shared" ca="1" si="9"/>
        <v>#VALUE!</v>
      </c>
      <c r="F31" s="21" t="e">
        <f t="shared" ca="1" si="9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9"/>
        <v>#VALUE!</v>
      </c>
      <c r="D32" s="14" t="e">
        <f t="shared" ca="1" si="9"/>
        <v>#VALUE!</v>
      </c>
      <c r="E32" s="14" t="e">
        <f t="shared" ca="1" si="9"/>
        <v>#VALUE!</v>
      </c>
      <c r="F32" s="21" t="e">
        <f t="shared" ca="1" si="9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9"/>
        <v>#VALUE!</v>
      </c>
      <c r="D33" s="14" t="e">
        <f t="shared" ca="1" si="9"/>
        <v>#VALUE!</v>
      </c>
      <c r="E33" s="14" t="e">
        <f t="shared" ca="1" si="9"/>
        <v>#VALUE!</v>
      </c>
      <c r="F33" s="21" t="e">
        <f t="shared" ca="1" si="9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9"/>
        <v>#VALUE!</v>
      </c>
      <c r="D34" s="14" t="e">
        <f t="shared" ca="1" si="9"/>
        <v>#VALUE!</v>
      </c>
      <c r="E34" s="14" t="e">
        <f t="shared" ca="1" si="9"/>
        <v>#VALUE!</v>
      </c>
      <c r="F34" s="21" t="e">
        <f t="shared" ca="1" si="9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9"/>
        <v>#VALUE!</v>
      </c>
      <c r="D35" s="14" t="e">
        <f t="shared" ca="1" si="9"/>
        <v>#VALUE!</v>
      </c>
      <c r="E35" s="14" t="e">
        <f t="shared" ca="1" si="9"/>
        <v>#VALUE!</v>
      </c>
      <c r="F35" s="21" t="e">
        <f t="shared" ca="1" si="9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9"/>
        <v>#VALUE!</v>
      </c>
      <c r="D36" s="14" t="e">
        <f t="shared" ca="1" si="9"/>
        <v>#VALUE!</v>
      </c>
      <c r="E36" s="14" t="e">
        <f t="shared" ca="1" si="9"/>
        <v>#VALUE!</v>
      </c>
      <c r="F36" s="21" t="e">
        <f t="shared" ca="1" si="9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9"/>
        <v>#VALUE!</v>
      </c>
      <c r="D37" s="14" t="e">
        <f t="shared" ca="1" si="9"/>
        <v>#VALUE!</v>
      </c>
      <c r="E37" s="14" t="e">
        <f t="shared" ca="1" si="9"/>
        <v>#VALUE!</v>
      </c>
      <c r="F37" s="21" t="e">
        <f t="shared" ca="1" si="9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9"/>
        <v>#VALUE!</v>
      </c>
      <c r="D38" s="17" t="e">
        <f t="shared" ca="1" si="9"/>
        <v>#VALUE!</v>
      </c>
      <c r="E38" s="17" t="e">
        <f t="shared" ca="1" si="9"/>
        <v>#VALUE!</v>
      </c>
      <c r="F38" s="22" t="e">
        <f t="shared" ca="1" si="9"/>
        <v>#VALUE!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HHC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29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ref="C30:F38" ca="1" si="11">IF(C6&gt;0,C18/C6,0)</f>
        <v>#VALUE!</v>
      </c>
      <c r="D30" s="14" t="e">
        <f t="shared" ca="1" si="11"/>
        <v>#VALUE!</v>
      </c>
      <c r="E30" s="14" t="e">
        <f t="shared" ca="1" si="11"/>
        <v>#VALUE!</v>
      </c>
      <c r="F30" s="21" t="e">
        <f t="shared" ca="1" si="11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11"/>
        <v>#VALUE!</v>
      </c>
      <c r="D31" s="14" t="e">
        <f t="shared" ca="1" si="11"/>
        <v>#VALUE!</v>
      </c>
      <c r="E31" s="14" t="e">
        <f t="shared" ca="1" si="11"/>
        <v>#VALUE!</v>
      </c>
      <c r="F31" s="21" t="e">
        <f t="shared" ca="1" si="11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11"/>
        <v>#VALUE!</v>
      </c>
      <c r="D32" s="14" t="e">
        <f t="shared" ca="1" si="11"/>
        <v>#VALUE!</v>
      </c>
      <c r="E32" s="14" t="e">
        <f t="shared" ca="1" si="11"/>
        <v>#VALUE!</v>
      </c>
      <c r="F32" s="21" t="e">
        <f t="shared" ca="1" si="11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11"/>
        <v>#VALUE!</v>
      </c>
      <c r="D33" s="14" t="e">
        <f t="shared" ca="1" si="11"/>
        <v>#VALUE!</v>
      </c>
      <c r="E33" s="14" t="e">
        <f t="shared" ca="1" si="11"/>
        <v>#VALUE!</v>
      </c>
      <c r="F33" s="21" t="e">
        <f t="shared" ca="1" si="11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11"/>
        <v>#VALUE!</v>
      </c>
      <c r="D34" s="14" t="e">
        <f t="shared" ca="1" si="11"/>
        <v>#VALUE!</v>
      </c>
      <c r="E34" s="14" t="e">
        <f t="shared" ca="1" si="11"/>
        <v>#VALUE!</v>
      </c>
      <c r="F34" s="21" t="e">
        <f t="shared" ca="1" si="11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11"/>
        <v>#VALUE!</v>
      </c>
      <c r="D35" s="14" t="e">
        <f t="shared" ca="1" si="11"/>
        <v>#VALUE!</v>
      </c>
      <c r="E35" s="14" t="e">
        <f t="shared" ca="1" si="11"/>
        <v>#VALUE!</v>
      </c>
      <c r="F35" s="21" t="e">
        <f t="shared" ca="1" si="11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11"/>
        <v>#VALUE!</v>
      </c>
      <c r="D36" s="14" t="e">
        <f t="shared" ca="1" si="11"/>
        <v>#VALUE!</v>
      </c>
      <c r="E36" s="14" t="e">
        <f t="shared" ca="1" si="11"/>
        <v>#VALUE!</v>
      </c>
      <c r="F36" s="21" t="e">
        <f t="shared" ca="1" si="11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11"/>
        <v>#VALUE!</v>
      </c>
      <c r="D37" s="14" t="e">
        <f t="shared" ca="1" si="11"/>
        <v>#VALUE!</v>
      </c>
      <c r="E37" s="14" t="e">
        <f t="shared" ca="1" si="11"/>
        <v>#VALUE!</v>
      </c>
      <c r="F37" s="21" t="e">
        <f t="shared" ca="1" si="11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11"/>
        <v>#VALUE!</v>
      </c>
      <c r="D38" s="17" t="e">
        <f t="shared" ca="1" si="11"/>
        <v>#VALUE!</v>
      </c>
      <c r="E38" s="17" t="e">
        <f t="shared" ca="1" si="11"/>
        <v>#VALUE!</v>
      </c>
      <c r="F38" s="22" t="e">
        <f t="shared" ca="1" si="11"/>
        <v>#VALUE!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HHN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29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ref="C30:F38" ca="1" si="11">IF(C6&gt;0,C18/C6,0)</f>
        <v>#VALUE!</v>
      </c>
      <c r="D30" s="14" t="e">
        <f t="shared" ca="1" si="11"/>
        <v>#VALUE!</v>
      </c>
      <c r="E30" s="14" t="e">
        <f t="shared" ca="1" si="11"/>
        <v>#VALUE!</v>
      </c>
      <c r="F30" s="21" t="e">
        <f t="shared" ca="1" si="11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11"/>
        <v>#VALUE!</v>
      </c>
      <c r="D31" s="14" t="e">
        <f t="shared" ca="1" si="11"/>
        <v>#VALUE!</v>
      </c>
      <c r="E31" s="14" t="e">
        <f t="shared" ca="1" si="11"/>
        <v>#VALUE!</v>
      </c>
      <c r="F31" s="21" t="e">
        <f t="shared" ca="1" si="11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11"/>
        <v>#VALUE!</v>
      </c>
      <c r="D32" s="14" t="e">
        <f t="shared" ca="1" si="11"/>
        <v>#VALUE!</v>
      </c>
      <c r="E32" s="14" t="e">
        <f t="shared" ca="1" si="11"/>
        <v>#VALUE!</v>
      </c>
      <c r="F32" s="21" t="e">
        <f t="shared" ca="1" si="11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11"/>
        <v>#VALUE!</v>
      </c>
      <c r="D33" s="14" t="e">
        <f t="shared" ca="1" si="11"/>
        <v>#VALUE!</v>
      </c>
      <c r="E33" s="14" t="e">
        <f t="shared" ca="1" si="11"/>
        <v>#VALUE!</v>
      </c>
      <c r="F33" s="21" t="e">
        <f t="shared" ca="1" si="11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11"/>
        <v>#VALUE!</v>
      </c>
      <c r="D34" s="14" t="e">
        <f t="shared" ca="1" si="11"/>
        <v>#VALUE!</v>
      </c>
      <c r="E34" s="14" t="e">
        <f t="shared" ca="1" si="11"/>
        <v>#VALUE!</v>
      </c>
      <c r="F34" s="21" t="e">
        <f t="shared" ca="1" si="11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11"/>
        <v>#VALUE!</v>
      </c>
      <c r="D35" s="14" t="e">
        <f t="shared" ca="1" si="11"/>
        <v>#VALUE!</v>
      </c>
      <c r="E35" s="14" t="e">
        <f t="shared" ca="1" si="11"/>
        <v>#VALUE!</v>
      </c>
      <c r="F35" s="21" t="e">
        <f t="shared" ca="1" si="11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11"/>
        <v>#VALUE!</v>
      </c>
      <c r="D36" s="14" t="e">
        <f t="shared" ca="1" si="11"/>
        <v>#VALUE!</v>
      </c>
      <c r="E36" s="14" t="e">
        <f t="shared" ca="1" si="11"/>
        <v>#VALUE!</v>
      </c>
      <c r="F36" s="21" t="e">
        <f t="shared" ca="1" si="11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11"/>
        <v>#VALUE!</v>
      </c>
      <c r="D37" s="14" t="e">
        <f t="shared" ca="1" si="11"/>
        <v>#VALUE!</v>
      </c>
      <c r="E37" s="14" t="e">
        <f t="shared" ca="1" si="11"/>
        <v>#VALUE!</v>
      </c>
      <c r="F37" s="21" t="e">
        <f t="shared" ca="1" si="11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11"/>
        <v>#VALUE!</v>
      </c>
      <c r="D38" s="17" t="e">
        <f t="shared" ca="1" si="11"/>
        <v>#VALUE!</v>
      </c>
      <c r="E38" s="17" t="e">
        <f t="shared" ca="1" si="11"/>
        <v>#VALUE!</v>
      </c>
      <c r="F38" s="22" t="e">
        <f t="shared" ca="1" si="11"/>
        <v>#VALUE!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activeCell="J19" sqref="J19:Q28"/>
    </sheetView>
  </sheetViews>
  <sheetFormatPr defaultRowHeight="15"/>
  <cols>
    <col min="3" max="3" width="17.7109375" bestFit="1" customWidth="1"/>
  </cols>
  <sheetData>
    <row r="1" spans="1:9">
      <c r="A1" t="s">
        <v>56</v>
      </c>
      <c r="C1" t="s">
        <v>5</v>
      </c>
    </row>
    <row r="2" spans="1:9">
      <c r="A2" t="s">
        <v>4</v>
      </c>
      <c r="I2" t="s">
        <v>3</v>
      </c>
    </row>
    <row r="3" spans="1:9">
      <c r="A3">
        <v>1</v>
      </c>
      <c r="F3" s="2"/>
      <c r="I3" s="1"/>
    </row>
    <row r="4" spans="1:9">
      <c r="A4">
        <v>2</v>
      </c>
      <c r="F4" s="2"/>
      <c r="I4" s="1"/>
    </row>
    <row r="5" spans="1:9">
      <c r="A5">
        <v>2</v>
      </c>
      <c r="F5" s="2"/>
      <c r="I5" s="1"/>
    </row>
    <row r="6" spans="1:9">
      <c r="A6">
        <v>3</v>
      </c>
      <c r="C6" t="s">
        <v>37</v>
      </c>
      <c r="D6" t="s">
        <v>16</v>
      </c>
      <c r="E6" t="s">
        <v>45</v>
      </c>
      <c r="F6" s="2">
        <v>2.84E-13</v>
      </c>
      <c r="G6">
        <v>0</v>
      </c>
      <c r="H6">
        <v>0</v>
      </c>
      <c r="I6" s="1">
        <f t="shared" ref="I6:I13" si="0">F6/SUM(F$3:F$13)</f>
        <v>3.2969584397492452E-2</v>
      </c>
    </row>
    <row r="7" spans="1:9">
      <c r="A7">
        <v>4</v>
      </c>
      <c r="C7" t="s">
        <v>37</v>
      </c>
      <c r="D7" t="s">
        <v>16</v>
      </c>
      <c r="E7" t="s">
        <v>44</v>
      </c>
      <c r="F7" s="2">
        <v>1.42E-12</v>
      </c>
      <c r="G7">
        <v>0</v>
      </c>
      <c r="H7">
        <v>0</v>
      </c>
      <c r="I7" s="1">
        <f t="shared" si="0"/>
        <v>0.16484792198746226</v>
      </c>
    </row>
    <row r="8" spans="1:9">
      <c r="A8">
        <v>5</v>
      </c>
      <c r="C8" t="s">
        <v>37</v>
      </c>
      <c r="D8" t="s">
        <v>16</v>
      </c>
      <c r="E8" t="s">
        <v>43</v>
      </c>
      <c r="F8" s="2">
        <v>1.42E-12</v>
      </c>
      <c r="G8">
        <v>0</v>
      </c>
      <c r="H8">
        <v>0</v>
      </c>
      <c r="I8" s="1">
        <f t="shared" si="0"/>
        <v>0.16484792198746226</v>
      </c>
    </row>
    <row r="9" spans="1:9">
      <c r="A9">
        <v>6</v>
      </c>
      <c r="C9" t="s">
        <v>37</v>
      </c>
      <c r="D9" t="s">
        <v>16</v>
      </c>
      <c r="E9" t="s">
        <v>42</v>
      </c>
      <c r="F9" s="2">
        <v>1.42E-12</v>
      </c>
      <c r="G9">
        <v>0</v>
      </c>
      <c r="H9">
        <v>0</v>
      </c>
      <c r="I9" s="1">
        <f t="shared" si="0"/>
        <v>0.16484792198746226</v>
      </c>
    </row>
    <row r="10" spans="1:9">
      <c r="A10">
        <v>7</v>
      </c>
      <c r="C10" t="s">
        <v>37</v>
      </c>
      <c r="D10" t="s">
        <v>16</v>
      </c>
      <c r="E10" t="s">
        <v>41</v>
      </c>
      <c r="F10" s="2">
        <v>1.42E-12</v>
      </c>
      <c r="G10">
        <v>0</v>
      </c>
      <c r="H10">
        <v>0</v>
      </c>
      <c r="I10" s="1">
        <f t="shared" si="0"/>
        <v>0.16484792198746226</v>
      </c>
    </row>
    <row r="11" spans="1:9">
      <c r="A11">
        <v>8</v>
      </c>
      <c r="C11" t="s">
        <v>37</v>
      </c>
      <c r="D11" t="s">
        <v>16</v>
      </c>
      <c r="E11" t="s">
        <v>40</v>
      </c>
      <c r="F11" s="2">
        <v>1.42E-12</v>
      </c>
      <c r="G11">
        <v>0</v>
      </c>
      <c r="H11">
        <v>0</v>
      </c>
      <c r="I11" s="1">
        <f t="shared" si="0"/>
        <v>0.16484792198746226</v>
      </c>
    </row>
    <row r="12" spans="1:9">
      <c r="A12">
        <v>9</v>
      </c>
      <c r="C12" t="s">
        <v>37</v>
      </c>
      <c r="D12" t="s">
        <v>16</v>
      </c>
      <c r="E12" t="s">
        <v>39</v>
      </c>
      <c r="F12" s="2">
        <v>1.052E-12</v>
      </c>
      <c r="G12">
        <v>0</v>
      </c>
      <c r="H12">
        <v>0</v>
      </c>
      <c r="I12" s="1">
        <f t="shared" si="0"/>
        <v>0.12212677037381006</v>
      </c>
    </row>
    <row r="13" spans="1:9">
      <c r="A13">
        <v>10</v>
      </c>
      <c r="C13" t="s">
        <v>37</v>
      </c>
      <c r="D13" t="s">
        <v>16</v>
      </c>
      <c r="E13" t="s">
        <v>38</v>
      </c>
      <c r="F13" s="2">
        <v>1.78E-13</v>
      </c>
      <c r="G13">
        <v>0</v>
      </c>
      <c r="H13">
        <v>0</v>
      </c>
      <c r="I13" s="1">
        <f t="shared" si="0"/>
        <v>2.0664035291386114E-2</v>
      </c>
    </row>
    <row r="20" spans="14:14">
      <c r="N20" s="2"/>
    </row>
    <row r="21" spans="14:14">
      <c r="N21" s="2"/>
    </row>
    <row r="22" spans="14:14">
      <c r="N22" s="2"/>
    </row>
    <row r="23" spans="14:14">
      <c r="N23" s="2"/>
    </row>
    <row r="24" spans="14:14">
      <c r="N24" s="2"/>
    </row>
    <row r="25" spans="14:14">
      <c r="N25" s="2"/>
    </row>
    <row r="26" spans="14:14">
      <c r="N26" s="2"/>
    </row>
    <row r="27" spans="14:14">
      <c r="N27" s="2"/>
    </row>
  </sheetData>
  <conditionalFormatting sqref="I3:I13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HNN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38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ca="1" si="9"/>
        <v>#VALUE!</v>
      </c>
      <c r="D30" s="14" t="e">
        <f t="shared" ca="1" si="9"/>
        <v>#VALUE!</v>
      </c>
      <c r="E30" s="14" t="e">
        <f t="shared" ca="1" si="9"/>
        <v>#VALUE!</v>
      </c>
      <c r="F30" s="21" t="e">
        <f t="shared" ca="1" si="9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9"/>
        <v>#VALUE!</v>
      </c>
      <c r="D31" s="14" t="e">
        <f t="shared" ca="1" si="9"/>
        <v>#VALUE!</v>
      </c>
      <c r="E31" s="14" t="e">
        <f t="shared" ca="1" si="9"/>
        <v>#VALUE!</v>
      </c>
      <c r="F31" s="21" t="e">
        <f t="shared" ca="1" si="9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9"/>
        <v>#VALUE!</v>
      </c>
      <c r="D32" s="14" t="e">
        <f t="shared" ca="1" si="9"/>
        <v>#VALUE!</v>
      </c>
      <c r="E32" s="14" t="e">
        <f t="shared" ca="1" si="9"/>
        <v>#VALUE!</v>
      </c>
      <c r="F32" s="21" t="e">
        <f t="shared" ca="1" si="9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9"/>
        <v>#VALUE!</v>
      </c>
      <c r="D33" s="14" t="e">
        <f t="shared" ca="1" si="9"/>
        <v>#VALUE!</v>
      </c>
      <c r="E33" s="14" t="e">
        <f t="shared" ca="1" si="9"/>
        <v>#VALUE!</v>
      </c>
      <c r="F33" s="21" t="e">
        <f t="shared" ca="1" si="9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9"/>
        <v>#VALUE!</v>
      </c>
      <c r="D34" s="14" t="e">
        <f t="shared" ca="1" si="9"/>
        <v>#VALUE!</v>
      </c>
      <c r="E34" s="14" t="e">
        <f t="shared" ca="1" si="9"/>
        <v>#VALUE!</v>
      </c>
      <c r="F34" s="21" t="e">
        <f t="shared" ca="1" si="9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9"/>
        <v>#VALUE!</v>
      </c>
      <c r="D35" s="14" t="e">
        <f t="shared" ca="1" si="9"/>
        <v>#VALUE!</v>
      </c>
      <c r="E35" s="14" t="e">
        <f t="shared" ca="1" si="9"/>
        <v>#VALUE!</v>
      </c>
      <c r="F35" s="21" t="e">
        <f t="shared" ca="1" si="9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9"/>
        <v>#VALUE!</v>
      </c>
      <c r="D36" s="14" t="e">
        <f t="shared" ca="1" si="9"/>
        <v>#VALUE!</v>
      </c>
      <c r="E36" s="14" t="e">
        <f t="shared" ca="1" si="9"/>
        <v>#VALUE!</v>
      </c>
      <c r="F36" s="21" t="e">
        <f t="shared" ca="1" si="9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9"/>
        <v>#VALUE!</v>
      </c>
      <c r="D37" s="14" t="e">
        <f t="shared" ca="1" si="9"/>
        <v>#VALUE!</v>
      </c>
      <c r="E37" s="14" t="e">
        <f t="shared" ca="1" si="9"/>
        <v>#VALUE!</v>
      </c>
      <c r="F37" s="21" t="e">
        <f t="shared" ca="1" si="9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9"/>
        <v>#VALUE!</v>
      </c>
      <c r="D38" s="17" t="e">
        <f t="shared" ca="1" si="9"/>
        <v>#VALUE!</v>
      </c>
      <c r="E38" s="17" t="e">
        <f t="shared" ca="1" si="9"/>
        <v>#VALUE!</v>
      </c>
      <c r="F38" s="22" t="e">
        <f t="shared" ca="1" si="9"/>
        <v>#VALUE!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activeCell="T18" sqref="T1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HHCN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38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ca="1" si="9"/>
        <v>#VALUE!</v>
      </c>
      <c r="D30" s="14" t="e">
        <f t="shared" ca="1" si="9"/>
        <v>#VALUE!</v>
      </c>
      <c r="E30" s="14" t="e">
        <f t="shared" ca="1" si="9"/>
        <v>#VALUE!</v>
      </c>
      <c r="F30" s="21" t="e">
        <f t="shared" ca="1" si="9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9"/>
        <v>#VALUE!</v>
      </c>
      <c r="D31" s="14" t="e">
        <f t="shared" ca="1" si="9"/>
        <v>#VALUE!</v>
      </c>
      <c r="E31" s="14" t="e">
        <f t="shared" ca="1" si="9"/>
        <v>#VALUE!</v>
      </c>
      <c r="F31" s="21" t="e">
        <f t="shared" ca="1" si="9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9"/>
        <v>#VALUE!</v>
      </c>
      <c r="D32" s="14" t="e">
        <f t="shared" ca="1" si="9"/>
        <v>#VALUE!</v>
      </c>
      <c r="E32" s="14" t="e">
        <f t="shared" ca="1" si="9"/>
        <v>#VALUE!</v>
      </c>
      <c r="F32" s="21" t="e">
        <f t="shared" ca="1" si="9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9"/>
        <v>#VALUE!</v>
      </c>
      <c r="D33" s="14" t="e">
        <f t="shared" ca="1" si="9"/>
        <v>#VALUE!</v>
      </c>
      <c r="E33" s="14" t="e">
        <f t="shared" ca="1" si="9"/>
        <v>#VALUE!</v>
      </c>
      <c r="F33" s="21" t="e">
        <f t="shared" ca="1" si="9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9"/>
        <v>#VALUE!</v>
      </c>
      <c r="D34" s="14" t="e">
        <f t="shared" ca="1" si="9"/>
        <v>#VALUE!</v>
      </c>
      <c r="E34" s="14" t="e">
        <f t="shared" ca="1" si="9"/>
        <v>#VALUE!</v>
      </c>
      <c r="F34" s="21" t="e">
        <f t="shared" ca="1" si="9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9"/>
        <v>#VALUE!</v>
      </c>
      <c r="D35" s="14" t="e">
        <f t="shared" ca="1" si="9"/>
        <v>#VALUE!</v>
      </c>
      <c r="E35" s="14" t="e">
        <f t="shared" ca="1" si="9"/>
        <v>#VALUE!</v>
      </c>
      <c r="F35" s="21" t="e">
        <f t="shared" ca="1" si="9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9"/>
        <v>#VALUE!</v>
      </c>
      <c r="D36" s="14" t="e">
        <f t="shared" ca="1" si="9"/>
        <v>#VALUE!</v>
      </c>
      <c r="E36" s="14" t="e">
        <f t="shared" ca="1" si="9"/>
        <v>#VALUE!</v>
      </c>
      <c r="F36" s="21" t="e">
        <f t="shared" ca="1" si="9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9"/>
        <v>#VALUE!</v>
      </c>
      <c r="D37" s="14" t="e">
        <f t="shared" ca="1" si="9"/>
        <v>#VALUE!</v>
      </c>
      <c r="E37" s="14" t="e">
        <f t="shared" ca="1" si="9"/>
        <v>#VALUE!</v>
      </c>
      <c r="F37" s="21" t="e">
        <f t="shared" ca="1" si="9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9"/>
        <v>#VALUE!</v>
      </c>
      <c r="D38" s="17" t="e">
        <f t="shared" ca="1" si="9"/>
        <v>#VALUE!</v>
      </c>
      <c r="E38" s="17" t="e">
        <f t="shared" ca="1" si="9"/>
        <v>#VALUE!</v>
      </c>
      <c r="F38" s="22" t="e">
        <f t="shared" ca="1" si="9"/>
        <v>#VALUE!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3">
      <c r="A1" t="s">
        <v>24</v>
      </c>
      <c r="D1" s="29" t="str">
        <f ca="1">MID(CELL("filename",D1),FIND("]",CELL("filename",D1))+1,255)</f>
        <v>HHNN</v>
      </c>
    </row>
    <row r="2" spans="1:13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3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3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3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3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3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3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3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3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3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3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3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3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29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ref="C30:F38" ca="1" si="11">IF(C6&gt;0,C18/C6,0)</f>
        <v>#VALUE!</v>
      </c>
      <c r="D30" s="14" t="e">
        <f t="shared" ca="1" si="11"/>
        <v>#VALUE!</v>
      </c>
      <c r="E30" s="14" t="e">
        <f t="shared" ca="1" si="11"/>
        <v>#VALUE!</v>
      </c>
      <c r="F30" s="21" t="e">
        <f t="shared" ca="1" si="11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11"/>
        <v>#VALUE!</v>
      </c>
      <c r="D31" s="14" t="e">
        <f t="shared" ca="1" si="11"/>
        <v>#VALUE!</v>
      </c>
      <c r="E31" s="14" t="e">
        <f t="shared" ca="1" si="11"/>
        <v>#VALUE!</v>
      </c>
      <c r="F31" s="21" t="e">
        <f t="shared" ca="1" si="11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11"/>
        <v>#VALUE!</v>
      </c>
      <c r="D32" s="14" t="e">
        <f t="shared" ca="1" si="11"/>
        <v>#VALUE!</v>
      </c>
      <c r="E32" s="14" t="e">
        <f t="shared" ca="1" si="11"/>
        <v>#VALUE!</v>
      </c>
      <c r="F32" s="21" t="e">
        <f t="shared" ca="1" si="11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11"/>
        <v>#VALUE!</v>
      </c>
      <c r="D33" s="14" t="e">
        <f t="shared" ca="1" si="11"/>
        <v>#VALUE!</v>
      </c>
      <c r="E33" s="14" t="e">
        <f t="shared" ca="1" si="11"/>
        <v>#VALUE!</v>
      </c>
      <c r="F33" s="21" t="e">
        <f t="shared" ca="1" si="11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11"/>
        <v>#VALUE!</v>
      </c>
      <c r="D34" s="14" t="e">
        <f t="shared" ca="1" si="11"/>
        <v>#VALUE!</v>
      </c>
      <c r="E34" s="14" t="e">
        <f t="shared" ca="1" si="11"/>
        <v>#VALUE!</v>
      </c>
      <c r="F34" s="21" t="e">
        <f t="shared" ca="1" si="11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11"/>
        <v>#VALUE!</v>
      </c>
      <c r="D35" s="14" t="e">
        <f t="shared" ca="1" si="11"/>
        <v>#VALUE!</v>
      </c>
      <c r="E35" s="14" t="e">
        <f t="shared" ca="1" si="11"/>
        <v>#VALUE!</v>
      </c>
      <c r="F35" s="21" t="e">
        <f t="shared" ca="1" si="11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11"/>
        <v>#VALUE!</v>
      </c>
      <c r="D36" s="14" t="e">
        <f t="shared" ca="1" si="11"/>
        <v>#VALUE!</v>
      </c>
      <c r="E36" s="14" t="e">
        <f t="shared" ca="1" si="11"/>
        <v>#VALUE!</v>
      </c>
      <c r="F36" s="21" t="e">
        <f t="shared" ca="1" si="11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11"/>
        <v>#VALUE!</v>
      </c>
      <c r="D37" s="14" t="e">
        <f t="shared" ca="1" si="11"/>
        <v>#VALUE!</v>
      </c>
      <c r="E37" s="14" t="e">
        <f t="shared" ca="1" si="11"/>
        <v>#VALUE!</v>
      </c>
      <c r="F37" s="21" t="e">
        <f t="shared" ca="1" si="11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11"/>
        <v>#VALUE!</v>
      </c>
      <c r="D38" s="17" t="e">
        <f t="shared" ca="1" si="11"/>
        <v>#VALUE!</v>
      </c>
      <c r="E38" s="17" t="e">
        <f t="shared" ca="1" si="11"/>
        <v>#VALUE!</v>
      </c>
      <c r="F38" s="22" t="e">
        <f t="shared" ca="1" si="11"/>
        <v>#VALUE!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workbookViewId="0">
      <selection sqref="A1:M28"/>
    </sheetView>
  </sheetViews>
  <sheetFormatPr defaultRowHeight="15"/>
  <cols>
    <col min="2" max="6" width="6.7109375" customWidth="1"/>
    <col min="9" max="13" width="5.7109375" customWidth="1"/>
  </cols>
  <sheetData>
    <row r="1" spans="1:14">
      <c r="A1" t="s">
        <v>24</v>
      </c>
      <c r="D1" s="29" t="str">
        <f ca="1">MID(CELL("filename",D1),FIND("]",CELL("filename",D1))+1,255)</f>
        <v>DCMP</v>
      </c>
      <c r="N1" t="s">
        <v>25</v>
      </c>
    </row>
    <row r="2" spans="1:14">
      <c r="A2" t="s">
        <v>4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</row>
    <row r="4" spans="1:14">
      <c r="A4" t="s">
        <v>20</v>
      </c>
      <c r="B4" t="str">
        <f>B2</f>
        <v>1-nitr</v>
      </c>
      <c r="C4" t="str">
        <f t="shared" ref="C4:F4" si="0">C2</f>
        <v>2-nitr</v>
      </c>
      <c r="D4" t="str">
        <f t="shared" si="0"/>
        <v>3-nitr</v>
      </c>
      <c r="E4" t="str">
        <f t="shared" si="0"/>
        <v>4-nitr</v>
      </c>
      <c r="F4" t="str">
        <f t="shared" si="0"/>
        <v>5-nitr</v>
      </c>
      <c r="H4" s="19" t="s">
        <v>23</v>
      </c>
      <c r="I4" t="str">
        <f>B4</f>
        <v>1-nitr</v>
      </c>
      <c r="J4" t="str">
        <f t="shared" ref="J4:M4" si="1">C4</f>
        <v>2-nitr</v>
      </c>
      <c r="K4" t="str">
        <f t="shared" si="1"/>
        <v>3-nitr</v>
      </c>
      <c r="L4" t="str">
        <f t="shared" si="1"/>
        <v>4-nitr</v>
      </c>
      <c r="M4" t="str">
        <f t="shared" si="1"/>
        <v>5-nitr</v>
      </c>
    </row>
    <row r="5" spans="1:14">
      <c r="A5">
        <v>1</v>
      </c>
      <c r="B5" s="10" t="e">
        <f ca="1">SUMIFS('[1]pathway analysis'!$G$13:$G$60,'[1]pathway analysis'!$B$13:$B$60,$A5,'[1]pathway analysis'!$O$13:$O$60,$D$1)</f>
        <v>#VALUE!</v>
      </c>
      <c r="C5" s="11" t="e">
        <f ca="1">SUMIFS('[2]pathway analysis'!$G$14:$G$56,'[2]pathway analysis'!$B$14:$B$56,$A5,'[2]pathway analysis'!$O$14:$O$56,$D$1)</f>
        <v>#VALUE!</v>
      </c>
      <c r="D5" s="11" t="e">
        <f ca="1">SUMIFS('[3]pathway analysis'!$G$13:$G$48,'[3]pathway analysis'!$B$13:$B$48,$A5,'[3]pathway analysis'!$O$13:$O$48,$D$1)</f>
        <v>#VALUE!</v>
      </c>
      <c r="E5" s="11" t="e">
        <f ca="1">SUMIFS('[4]pathway analysis'!$G$13:$G$48,'[4]pathway analysis'!$B$13:$B$48,$A5,'[4]pathway analysis'!$O$13:$O$48,$D$1)</f>
        <v>#VALUE!</v>
      </c>
      <c r="F5" s="12" t="e">
        <f ca="1">SUMIFS('[5]pathway analysis'!$G$13:$G$48,'[5]pathway analysis'!$B$13:$B$48,$A5,'[5]pathway analysis'!$O$13:$O$48,$D$1)</f>
        <v>#VALUE!</v>
      </c>
      <c r="H5">
        <v>1</v>
      </c>
      <c r="I5" s="23" t="e">
        <f ca="1">IF(SUM(B$5:B$14)&gt;0,B5/SUM(B$5:B$14),0)</f>
        <v>#VALUE!</v>
      </c>
      <c r="J5" s="24" t="e">
        <f t="shared" ref="J5:M14" ca="1" si="2">IF(SUM(C$5:C$14)&gt;0,C5/SUM(C$5:C$14),0)</f>
        <v>#VALUE!</v>
      </c>
      <c r="K5" s="24" t="e">
        <f t="shared" ca="1" si="2"/>
        <v>#VALUE!</v>
      </c>
      <c r="L5" s="24" t="e">
        <f t="shared" ca="1" si="2"/>
        <v>#VALUE!</v>
      </c>
      <c r="M5" s="12" t="e">
        <f t="shared" ca="1" si="2"/>
        <v>#VALUE!</v>
      </c>
    </row>
    <row r="6" spans="1:14">
      <c r="A6">
        <v>2</v>
      </c>
      <c r="B6" s="10" t="e">
        <f ca="1">SUMIFS('[1]pathway analysis'!$G$13:$G$60,'[1]pathway analysis'!$B$13:$B$60,$A6,'[1]pathway analysis'!$O$13:$O$60,$D$1)</f>
        <v>#VALUE!</v>
      </c>
      <c r="C6" s="14" t="e">
        <f ca="1">SUMIFS('[2]pathway analysis'!$G$14:$G$56,'[2]pathway analysis'!$B$14:$B$56,$A6,'[2]pathway analysis'!$O$14:$O$56,$D$1)</f>
        <v>#VALUE!</v>
      </c>
      <c r="D6" s="14" t="e">
        <f ca="1">SUMIFS('[3]pathway analysis'!$G$13:$G$48,'[3]pathway analysis'!$B$13:$B$48,$A6,'[3]pathway analysis'!$O$13:$O$48,$D$1)</f>
        <v>#VALUE!</v>
      </c>
      <c r="E6" s="14" t="e">
        <f ca="1">SUMIFS('[4]pathway analysis'!$G$13:$G$48,'[4]pathway analysis'!$B$13:$B$48,$A6,'[4]pathway analysis'!$O$13:$O$48,$D$1)</f>
        <v>#VALUE!</v>
      </c>
      <c r="F6" s="15" t="e">
        <f ca="1">SUMIFS('[5]pathway analysis'!$G$13:$G$48,'[5]pathway analysis'!$B$13:$B$48,$A6,'[5]pathway analysis'!$O$13:$O$48,$D$1)</f>
        <v>#VALUE!</v>
      </c>
      <c r="H6">
        <v>2</v>
      </c>
      <c r="I6" s="25" t="e">
        <f t="shared" ref="I6:I14" ca="1" si="3">IF(SUM(B$5:B$14)&gt;0,B6/SUM(B$5:B$14),0)</f>
        <v>#VALUE!</v>
      </c>
      <c r="J6" s="26" t="e">
        <f t="shared" ca="1" si="2"/>
        <v>#VALUE!</v>
      </c>
      <c r="K6" s="26" t="e">
        <f t="shared" ca="1" si="2"/>
        <v>#VALUE!</v>
      </c>
      <c r="L6" s="26" t="e">
        <f t="shared" ca="1" si="2"/>
        <v>#VALUE!</v>
      </c>
      <c r="M6" s="15" t="e">
        <f t="shared" ca="1" si="2"/>
        <v>#VALUE!</v>
      </c>
    </row>
    <row r="7" spans="1:14">
      <c r="A7">
        <v>3</v>
      </c>
      <c r="B7" s="10" t="e">
        <f ca="1">SUMIFS('[1]pathway analysis'!$G$13:$G$60,'[1]pathway analysis'!$B$13:$B$60,$A7,'[1]pathway analysis'!$O$13:$O$60,$D$1)</f>
        <v>#VALUE!</v>
      </c>
      <c r="C7" s="14" t="e">
        <f ca="1">SUMIFS('[2]pathway analysis'!$G$14:$G$56,'[2]pathway analysis'!$B$14:$B$56,$A7,'[2]pathway analysis'!$O$14:$O$56,$D$1)</f>
        <v>#VALUE!</v>
      </c>
      <c r="D7" s="14" t="e">
        <f ca="1">SUMIFS('[3]pathway analysis'!$G$13:$G$48,'[3]pathway analysis'!$B$13:$B$48,$A7,'[3]pathway analysis'!$O$13:$O$48,$D$1)</f>
        <v>#VALUE!</v>
      </c>
      <c r="E7" s="14" t="e">
        <f ca="1">SUMIFS('[4]pathway analysis'!$G$13:$G$48,'[4]pathway analysis'!$B$13:$B$48,$A7,'[4]pathway analysis'!$O$13:$O$48,$D$1)</f>
        <v>#VALUE!</v>
      </c>
      <c r="F7" s="15" t="e">
        <f ca="1">SUMIFS('[5]pathway analysis'!$G$13:$G$48,'[5]pathway analysis'!$B$13:$B$48,$A7,'[5]pathway analysis'!$O$13:$O$48,$D$1)</f>
        <v>#VALUE!</v>
      </c>
      <c r="H7">
        <v>3</v>
      </c>
      <c r="I7" s="25" t="e">
        <f t="shared" ca="1" si="3"/>
        <v>#VALUE!</v>
      </c>
      <c r="J7" s="26" t="e">
        <f t="shared" ca="1" si="2"/>
        <v>#VALUE!</v>
      </c>
      <c r="K7" s="26" t="e">
        <f t="shared" ca="1" si="2"/>
        <v>#VALUE!</v>
      </c>
      <c r="L7" s="26" t="e">
        <f t="shared" ca="1" si="2"/>
        <v>#VALUE!</v>
      </c>
      <c r="M7" s="15" t="e">
        <f t="shared" ca="1" si="2"/>
        <v>#VALUE!</v>
      </c>
    </row>
    <row r="8" spans="1:14">
      <c r="A8">
        <v>4</v>
      </c>
      <c r="B8" s="10" t="e">
        <f ca="1">SUMIFS('[1]pathway analysis'!$G$13:$G$60,'[1]pathway analysis'!$B$13:$B$60,$A8,'[1]pathway analysis'!$O$13:$O$60,$D$1)</f>
        <v>#VALUE!</v>
      </c>
      <c r="C8" s="14" t="e">
        <f ca="1">SUMIFS('[2]pathway analysis'!$G$14:$G$56,'[2]pathway analysis'!$B$14:$B$56,$A8,'[2]pathway analysis'!$O$14:$O$56,$D$1)</f>
        <v>#VALUE!</v>
      </c>
      <c r="D8" s="14" t="e">
        <f ca="1">SUMIFS('[3]pathway analysis'!$G$13:$G$48,'[3]pathway analysis'!$B$13:$B$48,$A8,'[3]pathway analysis'!$O$13:$O$48,$D$1)</f>
        <v>#VALUE!</v>
      </c>
      <c r="E8" s="14" t="e">
        <f ca="1">SUMIFS('[4]pathway analysis'!$G$13:$G$48,'[4]pathway analysis'!$B$13:$B$48,$A8,'[4]pathway analysis'!$O$13:$O$48,$D$1)</f>
        <v>#VALUE!</v>
      </c>
      <c r="F8" s="15" t="e">
        <f ca="1">SUMIFS('[5]pathway analysis'!$G$13:$G$48,'[5]pathway analysis'!$B$13:$B$48,$A8,'[5]pathway analysis'!$O$13:$O$48,$D$1)</f>
        <v>#VALUE!</v>
      </c>
      <c r="H8">
        <v>4</v>
      </c>
      <c r="I8" s="25" t="e">
        <f t="shared" ca="1" si="3"/>
        <v>#VALUE!</v>
      </c>
      <c r="J8" s="26" t="e">
        <f t="shared" ca="1" si="2"/>
        <v>#VALUE!</v>
      </c>
      <c r="K8" s="26" t="e">
        <f t="shared" ca="1" si="2"/>
        <v>#VALUE!</v>
      </c>
      <c r="L8" s="26" t="e">
        <f t="shared" ca="1" si="2"/>
        <v>#VALUE!</v>
      </c>
      <c r="M8" s="15" t="e">
        <f t="shared" ca="1" si="2"/>
        <v>#VALUE!</v>
      </c>
    </row>
    <row r="9" spans="1:14">
      <c r="A9">
        <v>5</v>
      </c>
      <c r="B9" s="10" t="e">
        <f ca="1">SUMIFS('[1]pathway analysis'!$G$13:$G$60,'[1]pathway analysis'!$B$13:$B$60,$A9,'[1]pathway analysis'!$O$13:$O$60,$D$1)</f>
        <v>#VALUE!</v>
      </c>
      <c r="C9" s="14" t="e">
        <f ca="1">SUMIFS('[2]pathway analysis'!$G$14:$G$56,'[2]pathway analysis'!$B$14:$B$56,$A9,'[2]pathway analysis'!$O$14:$O$56,$D$1)</f>
        <v>#VALUE!</v>
      </c>
      <c r="D9" s="14" t="e">
        <f ca="1">SUMIFS('[3]pathway analysis'!$G$13:$G$48,'[3]pathway analysis'!$B$13:$B$48,$A9,'[3]pathway analysis'!$O$13:$O$48,$D$1)</f>
        <v>#VALUE!</v>
      </c>
      <c r="E9" s="14" t="e">
        <f ca="1">SUMIFS('[4]pathway analysis'!$G$13:$G$48,'[4]pathway analysis'!$B$13:$B$48,$A9,'[4]pathway analysis'!$O$13:$O$48,$D$1)</f>
        <v>#VALUE!</v>
      </c>
      <c r="F9" s="15" t="e">
        <f ca="1">SUMIFS('[5]pathway analysis'!$G$13:$G$48,'[5]pathway analysis'!$B$13:$B$48,$A9,'[5]pathway analysis'!$O$13:$O$48,$D$1)</f>
        <v>#VALUE!</v>
      </c>
      <c r="H9">
        <v>5</v>
      </c>
      <c r="I9" s="25" t="e">
        <f t="shared" ca="1" si="3"/>
        <v>#VALUE!</v>
      </c>
      <c r="J9" s="26" t="e">
        <f t="shared" ca="1" si="2"/>
        <v>#VALUE!</v>
      </c>
      <c r="K9" s="26" t="e">
        <f t="shared" ca="1" si="2"/>
        <v>#VALUE!</v>
      </c>
      <c r="L9" s="26" t="e">
        <f t="shared" ca="1" si="2"/>
        <v>#VALUE!</v>
      </c>
      <c r="M9" s="15" t="e">
        <f t="shared" ca="1" si="2"/>
        <v>#VALUE!</v>
      </c>
    </row>
    <row r="10" spans="1:14">
      <c r="A10">
        <v>6</v>
      </c>
      <c r="B10" s="10" t="e">
        <f ca="1">SUMIFS('[1]pathway analysis'!$G$13:$G$60,'[1]pathway analysis'!$B$13:$B$60,$A10,'[1]pathway analysis'!$O$13:$O$60,$D$1)</f>
        <v>#VALUE!</v>
      </c>
      <c r="C10" s="14" t="e">
        <f ca="1">SUMIFS('[2]pathway analysis'!$G$14:$G$56,'[2]pathway analysis'!$B$14:$B$56,$A10,'[2]pathway analysis'!$O$14:$O$56,$D$1)</f>
        <v>#VALUE!</v>
      </c>
      <c r="D10" s="14" t="e">
        <f ca="1">SUMIFS('[3]pathway analysis'!$G$13:$G$48,'[3]pathway analysis'!$B$13:$B$48,$A10,'[3]pathway analysis'!$O$13:$O$48,$D$1)</f>
        <v>#VALUE!</v>
      </c>
      <c r="E10" s="14" t="e">
        <f ca="1">SUMIFS('[4]pathway analysis'!$G$13:$G$48,'[4]pathway analysis'!$B$13:$B$48,$A10,'[4]pathway analysis'!$O$13:$O$48,$D$1)</f>
        <v>#VALUE!</v>
      </c>
      <c r="F10" s="15" t="e">
        <f ca="1">SUMIFS('[5]pathway analysis'!$G$13:$G$48,'[5]pathway analysis'!$B$13:$B$48,$A10,'[5]pathway analysis'!$O$13:$O$48,$D$1)</f>
        <v>#VALUE!</v>
      </c>
      <c r="H10">
        <v>6</v>
      </c>
      <c r="I10" s="25" t="e">
        <f t="shared" ca="1" si="3"/>
        <v>#VALUE!</v>
      </c>
      <c r="J10" s="26" t="e">
        <f t="shared" ca="1" si="2"/>
        <v>#VALUE!</v>
      </c>
      <c r="K10" s="26" t="e">
        <f t="shared" ca="1" si="2"/>
        <v>#VALUE!</v>
      </c>
      <c r="L10" s="26" t="e">
        <f t="shared" ca="1" si="2"/>
        <v>#VALUE!</v>
      </c>
      <c r="M10" s="15" t="e">
        <f t="shared" ca="1" si="2"/>
        <v>#VALUE!</v>
      </c>
    </row>
    <row r="11" spans="1:14">
      <c r="A11">
        <v>7</v>
      </c>
      <c r="B11" s="10" t="e">
        <f ca="1">SUMIFS('[1]pathway analysis'!$G$13:$G$60,'[1]pathway analysis'!$B$13:$B$60,$A11,'[1]pathway analysis'!$O$13:$O$60,$D$1)</f>
        <v>#VALUE!</v>
      </c>
      <c r="C11" s="14" t="e">
        <f ca="1">SUMIFS('[2]pathway analysis'!$G$14:$G$56,'[2]pathway analysis'!$B$14:$B$56,$A11,'[2]pathway analysis'!$O$14:$O$56,$D$1)</f>
        <v>#VALUE!</v>
      </c>
      <c r="D11" s="14" t="e">
        <f ca="1">SUMIFS('[3]pathway analysis'!$G$13:$G$48,'[3]pathway analysis'!$B$13:$B$48,$A11,'[3]pathway analysis'!$O$13:$O$48,$D$1)</f>
        <v>#VALUE!</v>
      </c>
      <c r="E11" s="14" t="e">
        <f ca="1">SUMIFS('[4]pathway analysis'!$G$13:$G$48,'[4]pathway analysis'!$B$13:$B$48,$A11,'[4]pathway analysis'!$O$13:$O$48,$D$1)</f>
        <v>#VALUE!</v>
      </c>
      <c r="F11" s="15" t="e">
        <f ca="1">SUMIFS('[5]pathway analysis'!$G$13:$G$48,'[5]pathway analysis'!$B$13:$B$48,$A11,'[5]pathway analysis'!$O$13:$O$48,$D$1)</f>
        <v>#VALUE!</v>
      </c>
      <c r="H11">
        <v>7</v>
      </c>
      <c r="I11" s="25" t="e">
        <f t="shared" ca="1" si="3"/>
        <v>#VALUE!</v>
      </c>
      <c r="J11" s="26" t="e">
        <f t="shared" ca="1" si="2"/>
        <v>#VALUE!</v>
      </c>
      <c r="K11" s="26" t="e">
        <f t="shared" ca="1" si="2"/>
        <v>#VALUE!</v>
      </c>
      <c r="L11" s="26" t="e">
        <f t="shared" ca="1" si="2"/>
        <v>#VALUE!</v>
      </c>
      <c r="M11" s="15" t="e">
        <f t="shared" ca="1" si="2"/>
        <v>#VALUE!</v>
      </c>
    </row>
    <row r="12" spans="1:14">
      <c r="A12">
        <v>8</v>
      </c>
      <c r="B12" s="10" t="e">
        <f ca="1">SUMIFS('[1]pathway analysis'!$G$13:$G$60,'[1]pathway analysis'!$B$13:$B$60,$A12,'[1]pathway analysis'!$O$13:$O$60,$D$1)</f>
        <v>#VALUE!</v>
      </c>
      <c r="C12" s="14" t="e">
        <f ca="1">SUMIFS('[2]pathway analysis'!$G$14:$G$56,'[2]pathway analysis'!$B$14:$B$56,$A12,'[2]pathway analysis'!$O$14:$O$56,$D$1)</f>
        <v>#VALUE!</v>
      </c>
      <c r="D12" s="14" t="e">
        <f ca="1">SUMIFS('[3]pathway analysis'!$G$13:$G$48,'[3]pathway analysis'!$B$13:$B$48,$A12,'[3]pathway analysis'!$O$13:$O$48,$D$1)</f>
        <v>#VALUE!</v>
      </c>
      <c r="E12" s="14" t="e">
        <f ca="1">SUMIFS('[4]pathway analysis'!$G$13:$G$48,'[4]pathway analysis'!$B$13:$B$48,$A12,'[4]pathway analysis'!$O$13:$O$48,$D$1)</f>
        <v>#VALUE!</v>
      </c>
      <c r="F12" s="15" t="e">
        <f ca="1">SUMIFS('[5]pathway analysis'!$G$13:$G$48,'[5]pathway analysis'!$B$13:$B$48,$A12,'[5]pathway analysis'!$O$13:$O$48,$D$1)</f>
        <v>#VALUE!</v>
      </c>
      <c r="H12">
        <v>8</v>
      </c>
      <c r="I12" s="25" t="e">
        <f t="shared" ca="1" si="3"/>
        <v>#VALUE!</v>
      </c>
      <c r="J12" s="26" t="e">
        <f t="shared" ca="1" si="2"/>
        <v>#VALUE!</v>
      </c>
      <c r="K12" s="26" t="e">
        <f t="shared" ca="1" si="2"/>
        <v>#VALUE!</v>
      </c>
      <c r="L12" s="26" t="e">
        <f t="shared" ca="1" si="2"/>
        <v>#VALUE!</v>
      </c>
      <c r="M12" s="15" t="e">
        <f t="shared" ca="1" si="2"/>
        <v>#VALUE!</v>
      </c>
    </row>
    <row r="13" spans="1:14">
      <c r="A13">
        <v>9</v>
      </c>
      <c r="B13" s="10" t="e">
        <f ca="1">SUMIFS('[1]pathway analysis'!$G$13:$G$60,'[1]pathway analysis'!$B$13:$B$60,$A13,'[1]pathway analysis'!$O$13:$O$60,$D$1)</f>
        <v>#VALUE!</v>
      </c>
      <c r="C13" s="14" t="e">
        <f ca="1">SUMIFS('[2]pathway analysis'!$G$14:$G$56,'[2]pathway analysis'!$B$14:$B$56,$A13,'[2]pathway analysis'!$O$14:$O$56,$D$1)</f>
        <v>#VALUE!</v>
      </c>
      <c r="D13" s="14" t="e">
        <f ca="1">SUMIFS('[3]pathway analysis'!$G$13:$G$48,'[3]pathway analysis'!$B$13:$B$48,$A13,'[3]pathway analysis'!$O$13:$O$48,$D$1)</f>
        <v>#VALUE!</v>
      </c>
      <c r="E13" s="14" t="e">
        <f ca="1">SUMIFS('[4]pathway analysis'!$G$13:$G$48,'[4]pathway analysis'!$B$13:$B$48,$A13,'[4]pathway analysis'!$O$13:$O$48,$D$1)</f>
        <v>#VALUE!</v>
      </c>
      <c r="F13" s="15" t="e">
        <f ca="1">SUMIFS('[5]pathway analysis'!$G$13:$G$48,'[5]pathway analysis'!$B$13:$B$48,$A13,'[5]pathway analysis'!$O$13:$O$48,$D$1)</f>
        <v>#VALUE!</v>
      </c>
      <c r="H13">
        <v>9</v>
      </c>
      <c r="I13" s="25" t="e">
        <f t="shared" ca="1" si="3"/>
        <v>#VALUE!</v>
      </c>
      <c r="J13" s="26" t="e">
        <f t="shared" ca="1" si="2"/>
        <v>#VALUE!</v>
      </c>
      <c r="K13" s="26" t="e">
        <f t="shared" ca="1" si="2"/>
        <v>#VALUE!</v>
      </c>
      <c r="L13" s="26" t="e">
        <f t="shared" ca="1" si="2"/>
        <v>#VALUE!</v>
      </c>
      <c r="M13" s="15" t="e">
        <f t="shared" ca="1" si="2"/>
        <v>#VALUE!</v>
      </c>
    </row>
    <row r="14" spans="1:14">
      <c r="A14">
        <v>10</v>
      </c>
      <c r="B14" s="10" t="e">
        <f ca="1">SUMIFS('[1]pathway analysis'!$G$13:$G$60,'[1]pathway analysis'!$B$13:$B$60,$A14,'[1]pathway analysis'!$O$13:$O$60,$D$1)</f>
        <v>#VALUE!</v>
      </c>
      <c r="C14" s="17" t="e">
        <f ca="1">SUMIFS('[2]pathway analysis'!$G$14:$G$56,'[2]pathway analysis'!$B$14:$B$56,$A14,'[2]pathway analysis'!$O$14:$O$56,$D$1)</f>
        <v>#VALUE!</v>
      </c>
      <c r="D14" s="17" t="e">
        <f ca="1">SUMIFS('[3]pathway analysis'!$G$13:$G$48,'[3]pathway analysis'!$B$13:$B$48,$A14,'[3]pathway analysis'!$O$13:$O$48,$D$1)</f>
        <v>#VALUE!</v>
      </c>
      <c r="E14" s="17" t="e">
        <f ca="1">SUMIFS('[4]pathway analysis'!$G$13:$G$48,'[4]pathway analysis'!$B$13:$B$48,$A14,'[4]pathway analysis'!$O$13:$O$48,$D$1)</f>
        <v>#VALUE!</v>
      </c>
      <c r="F14" s="18" t="e">
        <f ca="1">SUMIFS('[5]pathway analysis'!$G$13:$G$48,'[5]pathway analysis'!$B$13:$B$48,$A14,'[5]pathway analysis'!$O$13:$O$48,$D$1)</f>
        <v>#VALUE!</v>
      </c>
      <c r="H14">
        <v>10</v>
      </c>
      <c r="I14" s="27" t="e">
        <f t="shared" ca="1" si="3"/>
        <v>#VALUE!</v>
      </c>
      <c r="J14" s="28" t="e">
        <f t="shared" ca="1" si="2"/>
        <v>#VALUE!</v>
      </c>
      <c r="K14" s="28" t="e">
        <f t="shared" ca="1" si="2"/>
        <v>#VALUE!</v>
      </c>
      <c r="L14" s="28" t="e">
        <f t="shared" ca="1" si="2"/>
        <v>#VALUE!</v>
      </c>
      <c r="M14" s="18" t="e">
        <f t="shared" ca="1" si="2"/>
        <v>#VALUE!</v>
      </c>
    </row>
    <row r="16" spans="1:14">
      <c r="A16" t="s">
        <v>21</v>
      </c>
      <c r="B16" t="str">
        <f>B4</f>
        <v>1-nitr</v>
      </c>
      <c r="C16" t="str">
        <f t="shared" ref="C16:F16" si="4">C4</f>
        <v>2-nitr</v>
      </c>
      <c r="D16" t="str">
        <f t="shared" si="4"/>
        <v>3-nitr</v>
      </c>
      <c r="E16" t="str">
        <f t="shared" si="4"/>
        <v>4-nitr</v>
      </c>
      <c r="F16" t="str">
        <f t="shared" si="4"/>
        <v>5-nitr</v>
      </c>
      <c r="H16" s="19" t="s">
        <v>23</v>
      </c>
      <c r="I16" t="str">
        <f>I4</f>
        <v>1-nitr</v>
      </c>
      <c r="J16" t="str">
        <f t="shared" ref="J16:M16" si="5">J4</f>
        <v>2-nitr</v>
      </c>
      <c r="K16" t="str">
        <f t="shared" si="5"/>
        <v>3-nitr</v>
      </c>
      <c r="L16" t="str">
        <f t="shared" si="5"/>
        <v>4-nitr</v>
      </c>
      <c r="M16" t="str">
        <f t="shared" si="5"/>
        <v>5-nitr</v>
      </c>
    </row>
    <row r="17" spans="1:13">
      <c r="A17">
        <v>1</v>
      </c>
      <c r="B17" s="10" t="e">
        <f ca="1">SUMIFS('[1]pathway analysis'!$G$13:$G$60,'[1]pathway analysis'!$B$13:$B$60,$A17,'[1]pathway analysis'!$O$13:$O$60,$D$1)</f>
        <v>#VALUE!</v>
      </c>
      <c r="C17" s="11" t="e">
        <f ca="1">SUMIFS('[2]pathway analysis'!$G$14:$G$56,'[2]pathway analysis'!$B$14:$B$56,$A17,'[2]pathway analysis'!$O$14:$O$56,$D$1)</f>
        <v>#VALUE!</v>
      </c>
      <c r="D17" s="11" t="e">
        <f ca="1">SUMIFS('[3]pathway analysis'!$G$13:$G$48,'[3]pathway analysis'!$B$13:$B$48,$A17,'[3]pathway analysis'!$O$13:$O$48,$D$1)</f>
        <v>#VALUE!</v>
      </c>
      <c r="E17" s="11" t="e">
        <f ca="1">SUMIFS('[4]pathway analysis'!$G$13:$G$48,'[4]pathway analysis'!$B$13:$B$48,$A17,'[4]pathway analysis'!$O$13:$O$48,$D$1)</f>
        <v>#VALUE!</v>
      </c>
      <c r="F17" s="12" t="e">
        <f ca="1">SUMIFS('[5]pathway analysis'!$G$13:$G$48,'[5]pathway analysis'!$B$13:$B$48,$A17,'[5]pathway analysis'!$O$13:$O$48,$D$1)</f>
        <v>#VALUE!</v>
      </c>
      <c r="H17">
        <v>1</v>
      </c>
      <c r="I17" s="23" t="e">
        <f t="shared" ref="I17:J26" ca="1" si="6">IF(SUM(B$17:B$26)&gt;0,B17/SUM(B$17:B$26),0)</f>
        <v>#VALUE!</v>
      </c>
      <c r="J17" s="24" t="e">
        <f ca="1">IF(SUM(C$17:C$26)&gt;0,C17/SUM(C$17:C$26),0)</f>
        <v>#VALUE!</v>
      </c>
      <c r="K17" s="24" t="e">
        <f t="shared" ref="K17:M26" ca="1" si="7">IF(SUM(D$17:D$26)&gt;0,D17/SUM(D$17:D$26),0)</f>
        <v>#VALUE!</v>
      </c>
      <c r="L17" s="24" t="e">
        <f t="shared" ca="1" si="7"/>
        <v>#VALUE!</v>
      </c>
      <c r="M17" s="12" t="e">
        <f t="shared" ca="1" si="7"/>
        <v>#VALUE!</v>
      </c>
    </row>
    <row r="18" spans="1:13">
      <c r="A18">
        <v>2</v>
      </c>
      <c r="B18" s="10" t="e">
        <f ca="1">SUMIFS('[1]pathway analysis'!$G$13:$G$60,'[1]pathway analysis'!$B$13:$B$60,$A18,'[1]pathway analysis'!$O$13:$O$60,$D$1)</f>
        <v>#VALUE!</v>
      </c>
      <c r="C18" s="14" t="e">
        <f ca="1">SUMIFS('[2]pathway analysis'!$G$14:$G$56,'[2]pathway analysis'!$B$14:$B$56,$A18,'[2]pathway analysis'!$O$14:$O$56,$D$1)</f>
        <v>#VALUE!</v>
      </c>
      <c r="D18" s="14" t="e">
        <f ca="1">SUMIFS('[3]pathway analysis'!$G$13:$G$48,'[3]pathway analysis'!$B$13:$B$48,$A18,'[3]pathway analysis'!$O$13:$O$48,$D$1)</f>
        <v>#VALUE!</v>
      </c>
      <c r="E18" s="14" t="e">
        <f ca="1">SUMIFS('[4]pathway analysis'!$G$13:$G$48,'[4]pathway analysis'!$B$13:$B$48,$A18,'[4]pathway analysis'!$O$13:$O$48,$D$1)</f>
        <v>#VALUE!</v>
      </c>
      <c r="F18" s="15" t="e">
        <f ca="1">SUMIFS('[5]pathway analysis'!$G$13:$G$48,'[5]pathway analysis'!$B$13:$B$48,$A18,'[5]pathway analysis'!$O$13:$O$48,$D$1)</f>
        <v>#VALUE!</v>
      </c>
      <c r="H18">
        <v>2</v>
      </c>
      <c r="I18" s="25" t="e">
        <f t="shared" ca="1" si="6"/>
        <v>#VALUE!</v>
      </c>
      <c r="J18" s="26" t="e">
        <f t="shared" ca="1" si="6"/>
        <v>#VALUE!</v>
      </c>
      <c r="K18" s="26" t="e">
        <f t="shared" ca="1" si="7"/>
        <v>#VALUE!</v>
      </c>
      <c r="L18" s="26" t="e">
        <f t="shared" ca="1" si="7"/>
        <v>#VALUE!</v>
      </c>
      <c r="M18" s="15" t="e">
        <f t="shared" ca="1" si="7"/>
        <v>#VALUE!</v>
      </c>
    </row>
    <row r="19" spans="1:13">
      <c r="A19">
        <v>3</v>
      </c>
      <c r="B19" s="10" t="e">
        <f ca="1">SUMIFS('[1]pathway analysis'!$G$13:$G$60,'[1]pathway analysis'!$B$13:$B$60,$A19,'[1]pathway analysis'!$O$13:$O$60,$D$1)</f>
        <v>#VALUE!</v>
      </c>
      <c r="C19" s="14" t="e">
        <f ca="1">SUMIFS('[2]pathway analysis'!$G$14:$G$56,'[2]pathway analysis'!$B$14:$B$56,$A19,'[2]pathway analysis'!$O$14:$O$56,$D$1)</f>
        <v>#VALUE!</v>
      </c>
      <c r="D19" s="14" t="e">
        <f ca="1">SUMIFS('[3]pathway analysis'!$G$13:$G$48,'[3]pathway analysis'!$B$13:$B$48,$A19,'[3]pathway analysis'!$O$13:$O$48,$D$1)</f>
        <v>#VALUE!</v>
      </c>
      <c r="E19" s="14" t="e">
        <f ca="1">SUMIFS('[4]pathway analysis'!$G$13:$G$48,'[4]pathway analysis'!$B$13:$B$48,$A19,'[4]pathway analysis'!$O$13:$O$48,$D$1)</f>
        <v>#VALUE!</v>
      </c>
      <c r="F19" s="15" t="e">
        <f ca="1">SUMIFS('[5]pathway analysis'!$G$13:$G$48,'[5]pathway analysis'!$B$13:$B$48,$A19,'[5]pathway analysis'!$O$13:$O$48,$D$1)</f>
        <v>#VALUE!</v>
      </c>
      <c r="H19">
        <v>3</v>
      </c>
      <c r="I19" s="25" t="e">
        <f t="shared" ca="1" si="6"/>
        <v>#VALUE!</v>
      </c>
      <c r="J19" s="26" t="e">
        <f t="shared" ca="1" si="6"/>
        <v>#VALUE!</v>
      </c>
      <c r="K19" s="26" t="e">
        <f t="shared" ca="1" si="7"/>
        <v>#VALUE!</v>
      </c>
      <c r="L19" s="26" t="e">
        <f t="shared" ca="1" si="7"/>
        <v>#VALUE!</v>
      </c>
      <c r="M19" s="15" t="e">
        <f t="shared" ca="1" si="7"/>
        <v>#VALUE!</v>
      </c>
    </row>
    <row r="20" spans="1:13">
      <c r="A20">
        <v>4</v>
      </c>
      <c r="B20" s="10" t="e">
        <f ca="1">SUMIFS('[1]pathway analysis'!$G$13:$G$60,'[1]pathway analysis'!$B$13:$B$60,$A20,'[1]pathway analysis'!$O$13:$O$60,$D$1)</f>
        <v>#VALUE!</v>
      </c>
      <c r="C20" s="14" t="e">
        <f ca="1">SUMIFS('[2]pathway analysis'!$G$14:$G$56,'[2]pathway analysis'!$B$14:$B$56,$A20,'[2]pathway analysis'!$O$14:$O$56,$D$1)</f>
        <v>#VALUE!</v>
      </c>
      <c r="D20" s="14" t="e">
        <f ca="1">SUMIFS('[3]pathway analysis'!$G$13:$G$48,'[3]pathway analysis'!$B$13:$B$48,$A20,'[3]pathway analysis'!$O$13:$O$48,$D$1)</f>
        <v>#VALUE!</v>
      </c>
      <c r="E20" s="14" t="e">
        <f ca="1">SUMIFS('[4]pathway analysis'!$G$13:$G$48,'[4]pathway analysis'!$B$13:$B$48,$A20,'[4]pathway analysis'!$O$13:$O$48,$D$1)</f>
        <v>#VALUE!</v>
      </c>
      <c r="F20" s="15" t="e">
        <f ca="1">SUMIFS('[5]pathway analysis'!$G$13:$G$48,'[5]pathway analysis'!$B$13:$B$48,$A20,'[5]pathway analysis'!$O$13:$O$48,$D$1)</f>
        <v>#VALUE!</v>
      </c>
      <c r="H20">
        <v>4</v>
      </c>
      <c r="I20" s="25" t="e">
        <f t="shared" ca="1" si="6"/>
        <v>#VALUE!</v>
      </c>
      <c r="J20" s="26" t="e">
        <f t="shared" ca="1" si="6"/>
        <v>#VALUE!</v>
      </c>
      <c r="K20" s="26" t="e">
        <f t="shared" ca="1" si="7"/>
        <v>#VALUE!</v>
      </c>
      <c r="L20" s="26" t="e">
        <f t="shared" ca="1" si="7"/>
        <v>#VALUE!</v>
      </c>
      <c r="M20" s="15" t="e">
        <f t="shared" ca="1" si="7"/>
        <v>#VALUE!</v>
      </c>
    </row>
    <row r="21" spans="1:13">
      <c r="A21">
        <v>5</v>
      </c>
      <c r="B21" s="10" t="e">
        <f ca="1">SUMIFS('[1]pathway analysis'!$G$13:$G$60,'[1]pathway analysis'!$B$13:$B$60,$A21,'[1]pathway analysis'!$O$13:$O$60,$D$1)</f>
        <v>#VALUE!</v>
      </c>
      <c r="C21" s="14" t="e">
        <f ca="1">SUMIFS('[2]pathway analysis'!$G$14:$G$56,'[2]pathway analysis'!$B$14:$B$56,$A21,'[2]pathway analysis'!$O$14:$O$56,$D$1)</f>
        <v>#VALUE!</v>
      </c>
      <c r="D21" s="14" t="e">
        <f ca="1">SUMIFS('[3]pathway analysis'!$G$13:$G$48,'[3]pathway analysis'!$B$13:$B$48,$A21,'[3]pathway analysis'!$O$13:$O$48,$D$1)</f>
        <v>#VALUE!</v>
      </c>
      <c r="E21" s="14" t="e">
        <f ca="1">SUMIFS('[4]pathway analysis'!$G$13:$G$48,'[4]pathway analysis'!$B$13:$B$48,$A21,'[4]pathway analysis'!$O$13:$O$48,$D$1)</f>
        <v>#VALUE!</v>
      </c>
      <c r="F21" s="15" t="e">
        <f ca="1">SUMIFS('[5]pathway analysis'!$G$13:$G$48,'[5]pathway analysis'!$B$13:$B$48,$A21,'[5]pathway analysis'!$O$13:$O$48,$D$1)</f>
        <v>#VALUE!</v>
      </c>
      <c r="H21">
        <v>5</v>
      </c>
      <c r="I21" s="25" t="e">
        <f t="shared" ca="1" si="6"/>
        <v>#VALUE!</v>
      </c>
      <c r="J21" s="26" t="e">
        <f t="shared" ca="1" si="6"/>
        <v>#VALUE!</v>
      </c>
      <c r="K21" s="26" t="e">
        <f t="shared" ca="1" si="7"/>
        <v>#VALUE!</v>
      </c>
      <c r="L21" s="26" t="e">
        <f t="shared" ca="1" si="7"/>
        <v>#VALUE!</v>
      </c>
      <c r="M21" s="15" t="e">
        <f t="shared" ca="1" si="7"/>
        <v>#VALUE!</v>
      </c>
    </row>
    <row r="22" spans="1:13">
      <c r="A22">
        <v>6</v>
      </c>
      <c r="B22" s="10" t="e">
        <f ca="1">SUMIFS('[1]pathway analysis'!$G$13:$G$60,'[1]pathway analysis'!$B$13:$B$60,$A22,'[1]pathway analysis'!$O$13:$O$60,$D$1)</f>
        <v>#VALUE!</v>
      </c>
      <c r="C22" s="14" t="e">
        <f ca="1">SUMIFS('[2]pathway analysis'!$G$14:$G$56,'[2]pathway analysis'!$B$14:$B$56,$A22,'[2]pathway analysis'!$O$14:$O$56,$D$1)</f>
        <v>#VALUE!</v>
      </c>
      <c r="D22" s="14" t="e">
        <f ca="1">SUMIFS('[3]pathway analysis'!$G$13:$G$48,'[3]pathway analysis'!$B$13:$B$48,$A22,'[3]pathway analysis'!$O$13:$O$48,$D$1)</f>
        <v>#VALUE!</v>
      </c>
      <c r="E22" s="14" t="e">
        <f ca="1">SUMIFS('[4]pathway analysis'!$G$13:$G$48,'[4]pathway analysis'!$B$13:$B$48,$A22,'[4]pathway analysis'!$O$13:$O$48,$D$1)</f>
        <v>#VALUE!</v>
      </c>
      <c r="F22" s="15" t="e">
        <f ca="1">SUMIFS('[5]pathway analysis'!$G$13:$G$48,'[5]pathway analysis'!$B$13:$B$48,$A22,'[5]pathway analysis'!$O$13:$O$48,$D$1)</f>
        <v>#VALUE!</v>
      </c>
      <c r="H22">
        <v>6</v>
      </c>
      <c r="I22" s="25" t="e">
        <f t="shared" ca="1" si="6"/>
        <v>#VALUE!</v>
      </c>
      <c r="J22" s="26" t="e">
        <f t="shared" ca="1" si="6"/>
        <v>#VALUE!</v>
      </c>
      <c r="K22" s="26" t="e">
        <f t="shared" ca="1" si="7"/>
        <v>#VALUE!</v>
      </c>
      <c r="L22" s="26" t="e">
        <f t="shared" ca="1" si="7"/>
        <v>#VALUE!</v>
      </c>
      <c r="M22" s="15" t="e">
        <f t="shared" ca="1" si="7"/>
        <v>#VALUE!</v>
      </c>
    </row>
    <row r="23" spans="1:13">
      <c r="A23">
        <v>7</v>
      </c>
      <c r="B23" s="10" t="e">
        <f ca="1">SUMIFS('[1]pathway analysis'!$G$13:$G$60,'[1]pathway analysis'!$B$13:$B$60,$A23,'[1]pathway analysis'!$O$13:$O$60,$D$1)</f>
        <v>#VALUE!</v>
      </c>
      <c r="C23" s="14" t="e">
        <f ca="1">SUMIFS('[2]pathway analysis'!$G$14:$G$56,'[2]pathway analysis'!$B$14:$B$56,$A23,'[2]pathway analysis'!$O$14:$O$56,$D$1)</f>
        <v>#VALUE!</v>
      </c>
      <c r="D23" s="14" t="e">
        <f ca="1">SUMIFS('[3]pathway analysis'!$G$13:$G$48,'[3]pathway analysis'!$B$13:$B$48,$A23,'[3]pathway analysis'!$O$13:$O$48,$D$1)</f>
        <v>#VALUE!</v>
      </c>
      <c r="E23" s="14" t="e">
        <f ca="1">SUMIFS('[4]pathway analysis'!$G$13:$G$48,'[4]pathway analysis'!$B$13:$B$48,$A23,'[4]pathway analysis'!$O$13:$O$48,$D$1)</f>
        <v>#VALUE!</v>
      </c>
      <c r="F23" s="15" t="e">
        <f ca="1">SUMIFS('[5]pathway analysis'!$G$13:$G$48,'[5]pathway analysis'!$B$13:$B$48,$A23,'[5]pathway analysis'!$O$13:$O$48,$D$1)</f>
        <v>#VALUE!</v>
      </c>
      <c r="H23">
        <v>7</v>
      </c>
      <c r="I23" s="25" t="e">
        <f t="shared" ca="1" si="6"/>
        <v>#VALUE!</v>
      </c>
      <c r="J23" s="26" t="e">
        <f t="shared" ca="1" si="6"/>
        <v>#VALUE!</v>
      </c>
      <c r="K23" s="26" t="e">
        <f t="shared" ca="1" si="7"/>
        <v>#VALUE!</v>
      </c>
      <c r="L23" s="26" t="e">
        <f t="shared" ca="1" si="7"/>
        <v>#VALUE!</v>
      </c>
      <c r="M23" s="15" t="e">
        <f t="shared" ca="1" si="7"/>
        <v>#VALUE!</v>
      </c>
    </row>
    <row r="24" spans="1:13">
      <c r="A24">
        <v>8</v>
      </c>
      <c r="B24" s="10" t="e">
        <f ca="1">SUMIFS('[1]pathway analysis'!$G$13:$G$60,'[1]pathway analysis'!$B$13:$B$60,$A24,'[1]pathway analysis'!$O$13:$O$60,$D$1)</f>
        <v>#VALUE!</v>
      </c>
      <c r="C24" s="14" t="e">
        <f ca="1">SUMIFS('[2]pathway analysis'!$G$14:$G$56,'[2]pathway analysis'!$B$14:$B$56,$A24,'[2]pathway analysis'!$O$14:$O$56,$D$1)</f>
        <v>#VALUE!</v>
      </c>
      <c r="D24" s="14" t="e">
        <f ca="1">SUMIFS('[3]pathway analysis'!$G$13:$G$48,'[3]pathway analysis'!$B$13:$B$48,$A24,'[3]pathway analysis'!$O$13:$O$48,$D$1)</f>
        <v>#VALUE!</v>
      </c>
      <c r="E24" s="14" t="e">
        <f ca="1">SUMIFS('[4]pathway analysis'!$G$13:$G$48,'[4]pathway analysis'!$B$13:$B$48,$A24,'[4]pathway analysis'!$O$13:$O$48,$D$1)</f>
        <v>#VALUE!</v>
      </c>
      <c r="F24" s="15" t="e">
        <f ca="1">SUMIFS('[5]pathway analysis'!$G$13:$G$48,'[5]pathway analysis'!$B$13:$B$48,$A24,'[5]pathway analysis'!$O$13:$O$48,$D$1)</f>
        <v>#VALUE!</v>
      </c>
      <c r="H24">
        <v>8</v>
      </c>
      <c r="I24" s="25" t="e">
        <f t="shared" ca="1" si="6"/>
        <v>#VALUE!</v>
      </c>
      <c r="J24" s="26" t="e">
        <f t="shared" ca="1" si="6"/>
        <v>#VALUE!</v>
      </c>
      <c r="K24" s="26" t="e">
        <f t="shared" ca="1" si="7"/>
        <v>#VALUE!</v>
      </c>
      <c r="L24" s="26" t="e">
        <f t="shared" ca="1" si="7"/>
        <v>#VALUE!</v>
      </c>
      <c r="M24" s="15" t="e">
        <f t="shared" ca="1" si="7"/>
        <v>#VALUE!</v>
      </c>
    </row>
    <row r="25" spans="1:13">
      <c r="A25">
        <v>9</v>
      </c>
      <c r="B25" s="10" t="e">
        <f ca="1">SUMIFS('[1]pathway analysis'!$G$13:$G$60,'[1]pathway analysis'!$B$13:$B$60,$A25,'[1]pathway analysis'!$O$13:$O$60,$D$1)</f>
        <v>#VALUE!</v>
      </c>
      <c r="C25" s="14" t="e">
        <f ca="1">SUMIFS('[2]pathway analysis'!$G$14:$G$56,'[2]pathway analysis'!$B$14:$B$56,$A25,'[2]pathway analysis'!$O$14:$O$56,$D$1)</f>
        <v>#VALUE!</v>
      </c>
      <c r="D25" s="14" t="e">
        <f ca="1">SUMIFS('[3]pathway analysis'!$G$13:$G$48,'[3]pathway analysis'!$B$13:$B$48,$A25,'[3]pathway analysis'!$O$13:$O$48,$D$1)</f>
        <v>#VALUE!</v>
      </c>
      <c r="E25" s="14" t="e">
        <f ca="1">SUMIFS('[4]pathway analysis'!$G$13:$G$48,'[4]pathway analysis'!$B$13:$B$48,$A25,'[4]pathway analysis'!$O$13:$O$48,$D$1)</f>
        <v>#VALUE!</v>
      </c>
      <c r="F25" s="15" t="e">
        <f ca="1">SUMIFS('[5]pathway analysis'!$G$13:$G$48,'[5]pathway analysis'!$B$13:$B$48,$A25,'[5]pathway analysis'!$O$13:$O$48,$D$1)</f>
        <v>#VALUE!</v>
      </c>
      <c r="H25">
        <v>9</v>
      </c>
      <c r="I25" s="25" t="e">
        <f t="shared" ca="1" si="6"/>
        <v>#VALUE!</v>
      </c>
      <c r="J25" s="26" t="e">
        <f t="shared" ca="1" si="6"/>
        <v>#VALUE!</v>
      </c>
      <c r="K25" s="26" t="e">
        <f t="shared" ca="1" si="7"/>
        <v>#VALUE!</v>
      </c>
      <c r="L25" s="26" t="e">
        <f t="shared" ca="1" si="7"/>
        <v>#VALUE!</v>
      </c>
      <c r="M25" s="15" t="e">
        <f t="shared" ca="1" si="7"/>
        <v>#VALUE!</v>
      </c>
    </row>
    <row r="26" spans="1:13">
      <c r="A26">
        <v>10</v>
      </c>
      <c r="B26" s="10" t="e">
        <f ca="1">SUMIFS('[1]pathway analysis'!$G$13:$G$60,'[1]pathway analysis'!$B$13:$B$60,$A26,'[1]pathway analysis'!$O$13:$O$60,$D$1)</f>
        <v>#VALUE!</v>
      </c>
      <c r="C26" s="17" t="e">
        <f ca="1">SUMIFS('[2]pathway analysis'!$G$14:$G$56,'[2]pathway analysis'!$B$14:$B$56,$A26,'[2]pathway analysis'!$O$14:$O$56,$D$1)</f>
        <v>#VALUE!</v>
      </c>
      <c r="D26" s="17" t="e">
        <f ca="1">SUMIFS('[3]pathway analysis'!$G$13:$G$48,'[3]pathway analysis'!$B$13:$B$48,$A26,'[3]pathway analysis'!$O$13:$O$48,$D$1)</f>
        <v>#VALUE!</v>
      </c>
      <c r="E26" s="17" t="e">
        <f ca="1">SUMIFS('[4]pathway analysis'!$G$13:$G$48,'[4]pathway analysis'!$B$13:$B$48,$A26,'[4]pathway analysis'!$O$13:$O$48,$D$1)</f>
        <v>#VALUE!</v>
      </c>
      <c r="F26" s="18" t="e">
        <f ca="1">SUMIFS('[5]pathway analysis'!$G$13:$G$48,'[5]pathway analysis'!$B$13:$B$48,$A26,'[5]pathway analysis'!$O$13:$O$48,$D$1)</f>
        <v>#VALUE!</v>
      </c>
      <c r="H26">
        <v>10</v>
      </c>
      <c r="I26" s="27" t="e">
        <f t="shared" ca="1" si="6"/>
        <v>#VALUE!</v>
      </c>
      <c r="J26" s="28" t="e">
        <f t="shared" ca="1" si="6"/>
        <v>#VALUE!</v>
      </c>
      <c r="K26" s="28" t="e">
        <f t="shared" ca="1" si="7"/>
        <v>#VALUE!</v>
      </c>
      <c r="L26" s="28" t="e">
        <f t="shared" ca="1" si="7"/>
        <v>#VALUE!</v>
      </c>
      <c r="M26" s="18" t="e">
        <f t="shared" ca="1" si="7"/>
        <v>#VALUE!</v>
      </c>
    </row>
    <row r="28" spans="1:13">
      <c r="A28" t="s">
        <v>22</v>
      </c>
      <c r="B28" t="str">
        <f>B16</f>
        <v>1-nitr</v>
      </c>
      <c r="C28" t="str">
        <f t="shared" ref="C28:F28" si="8">C16</f>
        <v>2-nitr</v>
      </c>
      <c r="D28" t="str">
        <f t="shared" si="8"/>
        <v>3-nitr</v>
      </c>
      <c r="E28" t="str">
        <f t="shared" si="8"/>
        <v>4-nitr</v>
      </c>
      <c r="F28" t="str">
        <f t="shared" si="8"/>
        <v>5-nitr</v>
      </c>
    </row>
    <row r="29" spans="1:13">
      <c r="A29">
        <v>1</v>
      </c>
      <c r="B29" s="10" t="e">
        <f ca="1">IF(B5&gt;0,B17/B5,0)</f>
        <v>#VALUE!</v>
      </c>
      <c r="C29" s="11" t="e">
        <f t="shared" ref="C29:F29" ca="1" si="9">IF(C5&gt;0,C17/C5,0)</f>
        <v>#VALUE!</v>
      </c>
      <c r="D29" s="11" t="e">
        <f t="shared" ca="1" si="9"/>
        <v>#VALUE!</v>
      </c>
      <c r="E29" s="11" t="e">
        <f t="shared" ca="1" si="9"/>
        <v>#VALUE!</v>
      </c>
      <c r="F29" s="20" t="e">
        <f t="shared" ca="1" si="9"/>
        <v>#VALUE!</v>
      </c>
    </row>
    <row r="30" spans="1:13">
      <c r="A30">
        <v>2</v>
      </c>
      <c r="B30" s="13" t="e">
        <f t="shared" ref="B30:B38" ca="1" si="10">IF(B6&gt;0,B18/B6,0)</f>
        <v>#VALUE!</v>
      </c>
      <c r="C30" s="14" t="e">
        <f t="shared" ref="C30:F38" ca="1" si="11">IF(C6&gt;0,C18/C6,0)</f>
        <v>#VALUE!</v>
      </c>
      <c r="D30" s="14" t="e">
        <f t="shared" ca="1" si="11"/>
        <v>#VALUE!</v>
      </c>
      <c r="E30" s="14" t="e">
        <f t="shared" ca="1" si="11"/>
        <v>#VALUE!</v>
      </c>
      <c r="F30" s="21" t="e">
        <f t="shared" ca="1" si="11"/>
        <v>#VALUE!</v>
      </c>
    </row>
    <row r="31" spans="1:13">
      <c r="A31">
        <v>3</v>
      </c>
      <c r="B31" s="13" t="e">
        <f t="shared" ca="1" si="10"/>
        <v>#VALUE!</v>
      </c>
      <c r="C31" s="14" t="e">
        <f t="shared" ca="1" si="11"/>
        <v>#VALUE!</v>
      </c>
      <c r="D31" s="14" t="e">
        <f t="shared" ca="1" si="11"/>
        <v>#VALUE!</v>
      </c>
      <c r="E31" s="14" t="e">
        <f t="shared" ca="1" si="11"/>
        <v>#VALUE!</v>
      </c>
      <c r="F31" s="21" t="e">
        <f t="shared" ca="1" si="11"/>
        <v>#VALUE!</v>
      </c>
    </row>
    <row r="32" spans="1:13">
      <c r="A32">
        <v>4</v>
      </c>
      <c r="B32" s="13" t="e">
        <f t="shared" ca="1" si="10"/>
        <v>#VALUE!</v>
      </c>
      <c r="C32" s="14" t="e">
        <f t="shared" ca="1" si="11"/>
        <v>#VALUE!</v>
      </c>
      <c r="D32" s="14" t="e">
        <f t="shared" ca="1" si="11"/>
        <v>#VALUE!</v>
      </c>
      <c r="E32" s="14" t="e">
        <f t="shared" ca="1" si="11"/>
        <v>#VALUE!</v>
      </c>
      <c r="F32" s="21" t="e">
        <f t="shared" ca="1" si="11"/>
        <v>#VALUE!</v>
      </c>
    </row>
    <row r="33" spans="1:6">
      <c r="A33">
        <v>5</v>
      </c>
      <c r="B33" s="13" t="e">
        <f t="shared" ca="1" si="10"/>
        <v>#VALUE!</v>
      </c>
      <c r="C33" s="14" t="e">
        <f t="shared" ca="1" si="11"/>
        <v>#VALUE!</v>
      </c>
      <c r="D33" s="14" t="e">
        <f t="shared" ca="1" si="11"/>
        <v>#VALUE!</v>
      </c>
      <c r="E33" s="14" t="e">
        <f t="shared" ca="1" si="11"/>
        <v>#VALUE!</v>
      </c>
      <c r="F33" s="21" t="e">
        <f t="shared" ca="1" si="11"/>
        <v>#VALUE!</v>
      </c>
    </row>
    <row r="34" spans="1:6">
      <c r="A34">
        <v>6</v>
      </c>
      <c r="B34" s="13" t="e">
        <f t="shared" ca="1" si="10"/>
        <v>#VALUE!</v>
      </c>
      <c r="C34" s="14" t="e">
        <f t="shared" ca="1" si="11"/>
        <v>#VALUE!</v>
      </c>
      <c r="D34" s="14" t="e">
        <f t="shared" ca="1" si="11"/>
        <v>#VALUE!</v>
      </c>
      <c r="E34" s="14" t="e">
        <f t="shared" ca="1" si="11"/>
        <v>#VALUE!</v>
      </c>
      <c r="F34" s="21" t="e">
        <f t="shared" ca="1" si="11"/>
        <v>#VALUE!</v>
      </c>
    </row>
    <row r="35" spans="1:6">
      <c r="A35">
        <v>7</v>
      </c>
      <c r="B35" s="13" t="e">
        <f t="shared" ca="1" si="10"/>
        <v>#VALUE!</v>
      </c>
      <c r="C35" s="14" t="e">
        <f t="shared" ca="1" si="11"/>
        <v>#VALUE!</v>
      </c>
      <c r="D35" s="14" t="e">
        <f t="shared" ca="1" si="11"/>
        <v>#VALUE!</v>
      </c>
      <c r="E35" s="14" t="e">
        <f t="shared" ca="1" si="11"/>
        <v>#VALUE!</v>
      </c>
      <c r="F35" s="21" t="e">
        <f t="shared" ca="1" si="11"/>
        <v>#VALUE!</v>
      </c>
    </row>
    <row r="36" spans="1:6">
      <c r="A36">
        <v>8</v>
      </c>
      <c r="B36" s="13" t="e">
        <f t="shared" ca="1" si="10"/>
        <v>#VALUE!</v>
      </c>
      <c r="C36" s="14" t="e">
        <f t="shared" ca="1" si="11"/>
        <v>#VALUE!</v>
      </c>
      <c r="D36" s="14" t="e">
        <f t="shared" ca="1" si="11"/>
        <v>#VALUE!</v>
      </c>
      <c r="E36" s="14" t="e">
        <f t="shared" ca="1" si="11"/>
        <v>#VALUE!</v>
      </c>
      <c r="F36" s="21" t="e">
        <f t="shared" ca="1" si="11"/>
        <v>#VALUE!</v>
      </c>
    </row>
    <row r="37" spans="1:6">
      <c r="A37">
        <v>9</v>
      </c>
      <c r="B37" s="13" t="e">
        <f t="shared" ca="1" si="10"/>
        <v>#VALUE!</v>
      </c>
      <c r="C37" s="14" t="e">
        <f t="shared" ca="1" si="11"/>
        <v>#VALUE!</v>
      </c>
      <c r="D37" s="14" t="e">
        <f t="shared" ca="1" si="11"/>
        <v>#VALUE!</v>
      </c>
      <c r="E37" s="14" t="e">
        <f t="shared" ca="1" si="11"/>
        <v>#VALUE!</v>
      </c>
      <c r="F37" s="21" t="e">
        <f t="shared" ca="1" si="11"/>
        <v>#VALUE!</v>
      </c>
    </row>
    <row r="38" spans="1:6">
      <c r="A38">
        <v>10</v>
      </c>
      <c r="B38" s="16" t="e">
        <f t="shared" ca="1" si="10"/>
        <v>#VALUE!</v>
      </c>
      <c r="C38" s="17" t="e">
        <f t="shared" ca="1" si="11"/>
        <v>#VALUE!</v>
      </c>
      <c r="D38" s="17" t="e">
        <f t="shared" ca="1" si="11"/>
        <v>#VALUE!</v>
      </c>
      <c r="E38" s="17" t="e">
        <f t="shared" ca="1" si="11"/>
        <v>#VALUE!</v>
      </c>
      <c r="F38" s="22" t="e">
        <f t="shared" ca="1" si="11"/>
        <v>#VALUE!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opLeftCell="D1" workbookViewId="0">
      <selection activeCell="L3" sqref="L3:V15"/>
    </sheetView>
  </sheetViews>
  <sheetFormatPr defaultRowHeight="15"/>
  <cols>
    <col min="3" max="3" width="17.7109375" bestFit="1" customWidth="1"/>
  </cols>
  <sheetData>
    <row r="1" spans="1:15">
      <c r="A1" t="s">
        <v>56</v>
      </c>
      <c r="C1" t="s">
        <v>5</v>
      </c>
    </row>
    <row r="2" spans="1:15">
      <c r="A2" t="s">
        <v>4</v>
      </c>
      <c r="I2" t="s">
        <v>3</v>
      </c>
    </row>
    <row r="3" spans="1:15">
      <c r="A3">
        <v>1</v>
      </c>
      <c r="C3" t="s">
        <v>37</v>
      </c>
      <c r="D3" t="s">
        <v>16</v>
      </c>
      <c r="E3" t="s">
        <v>46</v>
      </c>
      <c r="F3" s="2">
        <v>1.757E-13</v>
      </c>
      <c r="G3">
        <v>0</v>
      </c>
      <c r="H3">
        <v>0</v>
      </c>
      <c r="I3" s="1">
        <f t="shared" ref="I3:I13" si="0">F3/SUM(F$3:F$13)</f>
        <v>2.3149490105141109E-2</v>
      </c>
      <c r="O3" s="2"/>
    </row>
    <row r="4" spans="1:15">
      <c r="A4">
        <v>2</v>
      </c>
      <c r="C4" t="s">
        <v>37</v>
      </c>
      <c r="D4" t="s">
        <v>16</v>
      </c>
      <c r="E4" t="s">
        <v>45</v>
      </c>
      <c r="F4" s="2">
        <v>2.0759999999999999E-13</v>
      </c>
      <c r="G4">
        <v>0</v>
      </c>
      <c r="H4">
        <v>0</v>
      </c>
      <c r="I4" s="1">
        <f t="shared" si="0"/>
        <v>2.7352499407098999E-2</v>
      </c>
      <c r="O4" s="2"/>
    </row>
    <row r="5" spans="1:15">
      <c r="A5">
        <v>3</v>
      </c>
      <c r="C5" t="s">
        <v>37</v>
      </c>
      <c r="D5" t="s">
        <v>16</v>
      </c>
      <c r="E5" t="s">
        <v>17</v>
      </c>
      <c r="F5" s="2">
        <v>1.086E-13</v>
      </c>
      <c r="G5">
        <v>0</v>
      </c>
      <c r="H5">
        <v>0</v>
      </c>
      <c r="I5" s="1">
        <f t="shared" si="0"/>
        <v>1.4308677435505545E-2</v>
      </c>
      <c r="O5" s="2"/>
    </row>
    <row r="6" spans="1:15">
      <c r="A6">
        <v>3</v>
      </c>
      <c r="F6" s="2"/>
      <c r="I6" s="1"/>
      <c r="O6" s="2"/>
    </row>
    <row r="7" spans="1:15">
      <c r="A7">
        <v>4</v>
      </c>
      <c r="C7" t="s">
        <v>37</v>
      </c>
      <c r="D7" t="s">
        <v>16</v>
      </c>
      <c r="E7" t="s">
        <v>44</v>
      </c>
      <c r="F7" s="2">
        <v>2.8020000000000001E-13</v>
      </c>
      <c r="G7">
        <v>0</v>
      </c>
      <c r="H7">
        <v>0</v>
      </c>
      <c r="I7" s="1">
        <f t="shared" si="0"/>
        <v>3.6917968852934198E-2</v>
      </c>
      <c r="O7" s="2"/>
    </row>
    <row r="8" spans="1:15">
      <c r="A8">
        <v>5</v>
      </c>
      <c r="C8" t="s">
        <v>37</v>
      </c>
      <c r="D8" t="s">
        <v>16</v>
      </c>
      <c r="E8" t="s">
        <v>43</v>
      </c>
      <c r="F8" s="2">
        <v>1.401E-12</v>
      </c>
      <c r="G8">
        <v>0</v>
      </c>
      <c r="H8">
        <v>0</v>
      </c>
      <c r="I8" s="1">
        <f t="shared" si="0"/>
        <v>0.18458984426467098</v>
      </c>
      <c r="O8" s="2"/>
    </row>
    <row r="9" spans="1:15">
      <c r="A9">
        <v>6</v>
      </c>
      <c r="C9" t="s">
        <v>37</v>
      </c>
      <c r="D9" t="s">
        <v>16</v>
      </c>
      <c r="E9" t="s">
        <v>42</v>
      </c>
      <c r="F9" s="2">
        <v>1.401E-12</v>
      </c>
      <c r="G9">
        <v>0</v>
      </c>
      <c r="H9">
        <v>0</v>
      </c>
      <c r="I9" s="1">
        <f t="shared" si="0"/>
        <v>0.18458984426467098</v>
      </c>
      <c r="O9" s="2"/>
    </row>
    <row r="10" spans="1:15">
      <c r="A10">
        <v>7</v>
      </c>
      <c r="C10" t="s">
        <v>37</v>
      </c>
      <c r="D10" t="s">
        <v>16</v>
      </c>
      <c r="E10" t="s">
        <v>41</v>
      </c>
      <c r="F10" s="2">
        <v>1.401E-12</v>
      </c>
      <c r="G10">
        <v>0</v>
      </c>
      <c r="H10">
        <v>0</v>
      </c>
      <c r="I10" s="1">
        <f t="shared" si="0"/>
        <v>0.18458984426467098</v>
      </c>
      <c r="O10" s="2"/>
    </row>
    <row r="11" spans="1:15">
      <c r="A11">
        <v>8</v>
      </c>
      <c r="C11" t="s">
        <v>37</v>
      </c>
      <c r="D11" t="s">
        <v>16</v>
      </c>
      <c r="E11" t="s">
        <v>40</v>
      </c>
      <c r="F11" s="2">
        <v>1.401E-12</v>
      </c>
      <c r="G11">
        <v>0</v>
      </c>
      <c r="H11">
        <v>0</v>
      </c>
      <c r="I11" s="1">
        <f t="shared" si="0"/>
        <v>0.18458984426467098</v>
      </c>
      <c r="O11" s="2"/>
    </row>
    <row r="12" spans="1:15">
      <c r="A12">
        <v>9</v>
      </c>
      <c r="C12" t="s">
        <v>37</v>
      </c>
      <c r="D12" t="s">
        <v>16</v>
      </c>
      <c r="E12" t="s">
        <v>39</v>
      </c>
      <c r="F12" s="2">
        <v>1.038E-12</v>
      </c>
      <c r="G12">
        <v>0</v>
      </c>
      <c r="H12">
        <v>0</v>
      </c>
      <c r="I12" s="1">
        <f t="shared" si="0"/>
        <v>0.13676249703549501</v>
      </c>
      <c r="O12" s="2"/>
    </row>
    <row r="13" spans="1:15">
      <c r="A13">
        <v>10</v>
      </c>
      <c r="C13" t="s">
        <v>37</v>
      </c>
      <c r="D13" t="s">
        <v>16</v>
      </c>
      <c r="E13" t="s">
        <v>38</v>
      </c>
      <c r="F13" s="2">
        <v>1.757E-13</v>
      </c>
      <c r="G13">
        <v>0</v>
      </c>
      <c r="H13">
        <v>0</v>
      </c>
      <c r="I13" s="1">
        <f t="shared" si="0"/>
        <v>2.3149490105141109E-2</v>
      </c>
    </row>
  </sheetData>
  <sortState ref="L3:S12">
    <sortCondition descending="1" ref="N3:N12"/>
  </sortState>
  <conditionalFormatting sqref="I3:I13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activeCell="C8" sqref="C8:H13"/>
    </sheetView>
  </sheetViews>
  <sheetFormatPr defaultRowHeight="15"/>
  <cols>
    <col min="3" max="3" width="17.7109375" bestFit="1" customWidth="1"/>
  </cols>
  <sheetData>
    <row r="1" spans="1:16">
      <c r="A1" t="s">
        <v>56</v>
      </c>
      <c r="C1" t="s">
        <v>5</v>
      </c>
      <c r="N1" s="2"/>
    </row>
    <row r="2" spans="1:16">
      <c r="A2" t="s">
        <v>4</v>
      </c>
      <c r="I2" t="s">
        <v>3</v>
      </c>
    </row>
    <row r="3" spans="1:16">
      <c r="F3" s="2"/>
      <c r="I3" s="1"/>
      <c r="K3" t="s">
        <v>37</v>
      </c>
      <c r="L3" t="s">
        <v>16</v>
      </c>
      <c r="M3" t="s">
        <v>17</v>
      </c>
      <c r="N3" s="2">
        <v>1.086E-13</v>
      </c>
      <c r="O3">
        <v>0</v>
      </c>
      <c r="P3">
        <v>0</v>
      </c>
    </row>
    <row r="4" spans="1:16">
      <c r="A4">
        <v>1</v>
      </c>
      <c r="C4" t="s">
        <v>37</v>
      </c>
      <c r="D4" t="s">
        <v>16</v>
      </c>
      <c r="E4" t="s">
        <v>46</v>
      </c>
      <c r="F4" s="2">
        <v>1.757E-13</v>
      </c>
      <c r="G4">
        <v>0</v>
      </c>
      <c r="H4" s="2">
        <v>0</v>
      </c>
      <c r="I4" s="1">
        <f t="shared" ref="I4:I13" si="0">F4/SUM(F$3:F$13)</f>
        <v>2.4070471545606483E-2</v>
      </c>
      <c r="K4" t="s">
        <v>37</v>
      </c>
      <c r="L4" t="s">
        <v>16</v>
      </c>
      <c r="M4" t="s">
        <v>46</v>
      </c>
      <c r="N4" s="2">
        <v>1.757E-13</v>
      </c>
      <c r="O4">
        <v>0</v>
      </c>
      <c r="P4" s="2">
        <v>0</v>
      </c>
    </row>
    <row r="5" spans="1:16">
      <c r="A5">
        <v>2</v>
      </c>
      <c r="C5" t="s">
        <v>37</v>
      </c>
      <c r="D5" t="s">
        <v>16</v>
      </c>
      <c r="E5" t="s">
        <v>45</v>
      </c>
      <c r="F5" s="2">
        <v>1.038E-12</v>
      </c>
      <c r="G5">
        <v>0</v>
      </c>
      <c r="H5" s="2">
        <v>0</v>
      </c>
      <c r="I5" s="1">
        <f t="shared" si="0"/>
        <v>0.14220346877825574</v>
      </c>
      <c r="K5" t="s">
        <v>37</v>
      </c>
      <c r="L5" t="s">
        <v>16</v>
      </c>
      <c r="M5" t="s">
        <v>45</v>
      </c>
      <c r="N5" s="2">
        <v>1.038E-12</v>
      </c>
      <c r="O5">
        <v>0</v>
      </c>
      <c r="P5" s="2">
        <v>0</v>
      </c>
    </row>
    <row r="6" spans="1:16">
      <c r="A6">
        <v>3</v>
      </c>
      <c r="C6" t="s">
        <v>37</v>
      </c>
      <c r="D6" t="s">
        <v>16</v>
      </c>
      <c r="E6" t="s">
        <v>44</v>
      </c>
      <c r="F6" s="2">
        <v>2.8020000000000001E-13</v>
      </c>
      <c r="G6">
        <v>0</v>
      </c>
      <c r="H6" s="2">
        <v>0</v>
      </c>
      <c r="I6" s="1">
        <f t="shared" si="0"/>
        <v>3.8386716716442441E-2</v>
      </c>
      <c r="K6" t="s">
        <v>37</v>
      </c>
      <c r="L6" t="s">
        <v>16</v>
      </c>
      <c r="M6" t="s">
        <v>44</v>
      </c>
      <c r="N6" s="2">
        <v>2.8020000000000001E-13</v>
      </c>
      <c r="O6">
        <v>0</v>
      </c>
      <c r="P6" s="2">
        <v>0</v>
      </c>
    </row>
    <row r="7" spans="1:16">
      <c r="A7">
        <v>4</v>
      </c>
      <c r="C7" t="s">
        <v>37</v>
      </c>
      <c r="D7" t="s">
        <v>16</v>
      </c>
      <c r="E7" t="s">
        <v>17</v>
      </c>
      <c r="F7" s="2">
        <v>1.086E-13</v>
      </c>
      <c r="G7">
        <v>0</v>
      </c>
      <c r="H7">
        <v>0</v>
      </c>
      <c r="I7" s="1">
        <f t="shared" si="0"/>
        <v>1.4877935172753922E-2</v>
      </c>
      <c r="K7" t="s">
        <v>37</v>
      </c>
      <c r="L7" t="s">
        <v>16</v>
      </c>
      <c r="M7" t="s">
        <v>43</v>
      </c>
      <c r="N7" s="2">
        <v>2.8020000000000001E-13</v>
      </c>
      <c r="O7">
        <v>0</v>
      </c>
      <c r="P7" s="2">
        <v>0</v>
      </c>
    </row>
    <row r="8" spans="1:16">
      <c r="A8">
        <v>5</v>
      </c>
      <c r="C8" t="s">
        <v>37</v>
      </c>
      <c r="D8" t="s">
        <v>16</v>
      </c>
      <c r="E8" t="s">
        <v>43</v>
      </c>
      <c r="F8" s="2">
        <v>2.8020000000000001E-13</v>
      </c>
      <c r="G8">
        <v>0</v>
      </c>
      <c r="H8" s="2">
        <v>0</v>
      </c>
      <c r="I8" s="1">
        <f t="shared" si="0"/>
        <v>3.8386716716442441E-2</v>
      </c>
      <c r="K8" t="s">
        <v>37</v>
      </c>
      <c r="L8" t="s">
        <v>16</v>
      </c>
      <c r="M8" t="s">
        <v>42</v>
      </c>
      <c r="N8" s="2">
        <v>1.401E-12</v>
      </c>
      <c r="O8">
        <v>0</v>
      </c>
      <c r="P8" s="2">
        <v>0</v>
      </c>
    </row>
    <row r="9" spans="1:16">
      <c r="A9">
        <v>6</v>
      </c>
      <c r="C9" t="s">
        <v>37</v>
      </c>
      <c r="D9" t="s">
        <v>16</v>
      </c>
      <c r="E9" t="s">
        <v>42</v>
      </c>
      <c r="F9" s="2">
        <v>1.401E-12</v>
      </c>
      <c r="G9">
        <v>0</v>
      </c>
      <c r="H9" s="2">
        <v>0</v>
      </c>
      <c r="I9" s="1">
        <f t="shared" si="0"/>
        <v>0.19193358358221221</v>
      </c>
      <c r="K9" t="s">
        <v>37</v>
      </c>
      <c r="L9" t="s">
        <v>16</v>
      </c>
      <c r="M9" t="s">
        <v>41</v>
      </c>
      <c r="N9" s="2">
        <v>1.401E-12</v>
      </c>
      <c r="O9">
        <v>0</v>
      </c>
      <c r="P9" s="2">
        <v>0</v>
      </c>
    </row>
    <row r="10" spans="1:16">
      <c r="A10">
        <v>7</v>
      </c>
      <c r="C10" t="s">
        <v>37</v>
      </c>
      <c r="D10" t="s">
        <v>16</v>
      </c>
      <c r="E10" t="s">
        <v>41</v>
      </c>
      <c r="F10" s="2">
        <v>1.401E-12</v>
      </c>
      <c r="G10">
        <v>0</v>
      </c>
      <c r="H10" s="2">
        <v>0</v>
      </c>
      <c r="I10" s="1">
        <f t="shared" si="0"/>
        <v>0.19193358358221221</v>
      </c>
      <c r="K10" t="s">
        <v>37</v>
      </c>
      <c r="L10" t="s">
        <v>16</v>
      </c>
      <c r="M10" t="s">
        <v>40</v>
      </c>
      <c r="N10" s="2">
        <v>1.401E-12</v>
      </c>
      <c r="O10">
        <v>0</v>
      </c>
      <c r="P10" s="2">
        <v>0</v>
      </c>
    </row>
    <row r="11" spans="1:16">
      <c r="A11">
        <v>8</v>
      </c>
      <c r="C11" t="s">
        <v>37</v>
      </c>
      <c r="D11" t="s">
        <v>16</v>
      </c>
      <c r="E11" t="s">
        <v>40</v>
      </c>
      <c r="F11" s="2">
        <v>1.401E-12</v>
      </c>
      <c r="G11">
        <v>0</v>
      </c>
      <c r="H11" s="2">
        <v>0</v>
      </c>
      <c r="I11" s="1">
        <f t="shared" si="0"/>
        <v>0.19193358358221221</v>
      </c>
      <c r="K11" t="s">
        <v>37</v>
      </c>
      <c r="L11" t="s">
        <v>16</v>
      </c>
      <c r="M11" t="s">
        <v>39</v>
      </c>
      <c r="N11" s="2">
        <v>1.038E-12</v>
      </c>
      <c r="O11">
        <v>0</v>
      </c>
      <c r="P11" s="2">
        <v>0</v>
      </c>
    </row>
    <row r="12" spans="1:16">
      <c r="A12">
        <v>9</v>
      </c>
      <c r="C12" t="s">
        <v>37</v>
      </c>
      <c r="D12" t="s">
        <v>16</v>
      </c>
      <c r="E12" t="s">
        <v>39</v>
      </c>
      <c r="F12" s="2">
        <v>1.038E-12</v>
      </c>
      <c r="G12">
        <v>0</v>
      </c>
      <c r="H12" s="2">
        <v>0</v>
      </c>
      <c r="I12" s="1">
        <f t="shared" si="0"/>
        <v>0.14220346877825574</v>
      </c>
      <c r="K12" t="s">
        <v>37</v>
      </c>
      <c r="L12" t="s">
        <v>16</v>
      </c>
      <c r="M12" t="s">
        <v>38</v>
      </c>
      <c r="N12" s="2">
        <v>1.757E-13</v>
      </c>
      <c r="O12">
        <v>0</v>
      </c>
      <c r="P12" s="2">
        <v>0</v>
      </c>
    </row>
    <row r="13" spans="1:16">
      <c r="A13">
        <v>10</v>
      </c>
      <c r="C13" t="s">
        <v>37</v>
      </c>
      <c r="D13" t="s">
        <v>16</v>
      </c>
      <c r="E13" t="s">
        <v>38</v>
      </c>
      <c r="F13" s="2">
        <v>1.757E-13</v>
      </c>
      <c r="G13">
        <v>0</v>
      </c>
      <c r="H13" s="2">
        <v>0</v>
      </c>
      <c r="I13" s="1">
        <f t="shared" si="0"/>
        <v>2.4070471545606483E-2</v>
      </c>
      <c r="N13" s="2"/>
      <c r="P13" s="2"/>
    </row>
    <row r="14" spans="1:16">
      <c r="P14" s="2"/>
    </row>
  </sheetData>
  <sortState ref="K3:R12">
    <sortCondition descending="1" ref="M3:M12"/>
  </sortState>
  <conditionalFormatting sqref="I3:I13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"/>
  <sheetViews>
    <sheetView workbookViewId="0">
      <selection activeCell="R17" sqref="R17"/>
    </sheetView>
  </sheetViews>
  <sheetFormatPr defaultRowHeight="15"/>
  <cols>
    <col min="3" max="3" width="17.7109375" bestFit="1" customWidth="1"/>
  </cols>
  <sheetData>
    <row r="1" spans="1:18">
      <c r="A1" t="s">
        <v>56</v>
      </c>
      <c r="C1" t="s">
        <v>6</v>
      </c>
    </row>
    <row r="2" spans="1:18">
      <c r="A2" t="s">
        <v>4</v>
      </c>
      <c r="I2" t="s">
        <v>3</v>
      </c>
    </row>
    <row r="3" spans="1:18">
      <c r="A3">
        <v>1</v>
      </c>
      <c r="C3" t="s">
        <v>37</v>
      </c>
      <c r="D3" t="s">
        <v>16</v>
      </c>
      <c r="E3" t="s">
        <v>46</v>
      </c>
      <c r="F3" s="2">
        <v>1.757E-13</v>
      </c>
      <c r="G3" s="2">
        <v>0</v>
      </c>
      <c r="H3">
        <v>0</v>
      </c>
      <c r="I3" s="1">
        <f t="shared" ref="I3:I13" si="0">F3/SUM(F$3:F$13)</f>
        <v>2.4070471545606483E-2</v>
      </c>
      <c r="M3" t="s">
        <v>37</v>
      </c>
      <c r="N3" t="s">
        <v>16</v>
      </c>
      <c r="O3" t="s">
        <v>17</v>
      </c>
      <c r="P3" s="2">
        <v>1.086E-13</v>
      </c>
      <c r="Q3">
        <v>0</v>
      </c>
      <c r="R3">
        <v>0</v>
      </c>
    </row>
    <row r="4" spans="1:18">
      <c r="A4">
        <v>2</v>
      </c>
      <c r="C4" t="s">
        <v>37</v>
      </c>
      <c r="D4" t="s">
        <v>16</v>
      </c>
      <c r="E4" t="s">
        <v>45</v>
      </c>
      <c r="F4" s="2">
        <v>1.038E-12</v>
      </c>
      <c r="G4" s="2">
        <v>0</v>
      </c>
      <c r="H4">
        <v>0</v>
      </c>
      <c r="I4" s="1">
        <f t="shared" si="0"/>
        <v>0.14220346877825574</v>
      </c>
      <c r="M4" t="s">
        <v>37</v>
      </c>
      <c r="N4" t="s">
        <v>16</v>
      </c>
      <c r="O4" t="s">
        <v>46</v>
      </c>
      <c r="P4" s="2">
        <v>1.757E-13</v>
      </c>
      <c r="Q4" s="2">
        <v>0</v>
      </c>
      <c r="R4">
        <v>0</v>
      </c>
    </row>
    <row r="5" spans="1:18">
      <c r="A5">
        <v>3</v>
      </c>
      <c r="C5" t="s">
        <v>37</v>
      </c>
      <c r="D5" t="s">
        <v>16</v>
      </c>
      <c r="E5" t="s">
        <v>44</v>
      </c>
      <c r="F5" s="2">
        <v>1.401E-12</v>
      </c>
      <c r="G5" s="2">
        <v>0</v>
      </c>
      <c r="H5">
        <v>0</v>
      </c>
      <c r="I5" s="1">
        <f t="shared" si="0"/>
        <v>0.19193358358221221</v>
      </c>
      <c r="M5" t="s">
        <v>37</v>
      </c>
      <c r="N5" t="s">
        <v>16</v>
      </c>
      <c r="O5" t="s">
        <v>45</v>
      </c>
      <c r="P5" s="2">
        <v>1.038E-12</v>
      </c>
      <c r="Q5" s="2">
        <v>0</v>
      </c>
      <c r="R5">
        <v>0</v>
      </c>
    </row>
    <row r="6" spans="1:18">
      <c r="A6">
        <v>4</v>
      </c>
      <c r="C6" t="s">
        <v>37</v>
      </c>
      <c r="D6" t="s">
        <v>16</v>
      </c>
      <c r="E6" t="s">
        <v>43</v>
      </c>
      <c r="F6" s="2">
        <v>2.8020000000000001E-13</v>
      </c>
      <c r="G6" s="2">
        <v>0</v>
      </c>
      <c r="H6">
        <v>0</v>
      </c>
      <c r="I6" s="1">
        <f t="shared" si="0"/>
        <v>3.8386716716442441E-2</v>
      </c>
      <c r="M6" t="s">
        <v>37</v>
      </c>
      <c r="N6" t="s">
        <v>16</v>
      </c>
      <c r="O6" t="s">
        <v>44</v>
      </c>
      <c r="P6" s="2">
        <v>1.401E-12</v>
      </c>
      <c r="Q6" s="2">
        <v>0</v>
      </c>
      <c r="R6">
        <v>0</v>
      </c>
    </row>
    <row r="7" spans="1:18">
      <c r="A7">
        <v>5</v>
      </c>
      <c r="B7" t="s">
        <v>2</v>
      </c>
      <c r="C7" t="s">
        <v>37</v>
      </c>
      <c r="D7" t="s">
        <v>16</v>
      </c>
      <c r="E7" t="s">
        <v>17</v>
      </c>
      <c r="F7" s="2">
        <v>1.086E-13</v>
      </c>
      <c r="G7">
        <v>0</v>
      </c>
      <c r="H7">
        <v>0</v>
      </c>
      <c r="I7" s="1">
        <f>F7/SUM(F$3:F$13)</f>
        <v>1.4877935172753922E-2</v>
      </c>
      <c r="M7" t="s">
        <v>37</v>
      </c>
      <c r="N7" t="s">
        <v>16</v>
      </c>
      <c r="O7" t="s">
        <v>43</v>
      </c>
      <c r="P7" s="2">
        <v>2.8020000000000001E-13</v>
      </c>
      <c r="Q7" s="2">
        <v>0</v>
      </c>
      <c r="R7">
        <v>0</v>
      </c>
    </row>
    <row r="8" spans="1:18">
      <c r="A8">
        <v>5</v>
      </c>
      <c r="B8" t="s">
        <v>1</v>
      </c>
      <c r="F8" s="2"/>
      <c r="I8" s="1"/>
      <c r="M8" t="s">
        <v>37</v>
      </c>
      <c r="N8" t="s">
        <v>16</v>
      </c>
      <c r="O8" t="s">
        <v>42</v>
      </c>
      <c r="P8" s="2">
        <v>2.8020000000000001E-13</v>
      </c>
      <c r="Q8" s="2">
        <v>0</v>
      </c>
      <c r="R8">
        <v>0</v>
      </c>
    </row>
    <row r="9" spans="1:18">
      <c r="A9">
        <v>6</v>
      </c>
      <c r="C9" t="s">
        <v>37</v>
      </c>
      <c r="D9" t="s">
        <v>16</v>
      </c>
      <c r="E9" t="s">
        <v>42</v>
      </c>
      <c r="F9" s="2">
        <v>2.8020000000000001E-13</v>
      </c>
      <c r="G9" s="2">
        <v>0</v>
      </c>
      <c r="H9">
        <v>0</v>
      </c>
      <c r="I9" s="1">
        <f t="shared" si="0"/>
        <v>3.8386716716442441E-2</v>
      </c>
      <c r="M9" t="s">
        <v>37</v>
      </c>
      <c r="N9" t="s">
        <v>16</v>
      </c>
      <c r="O9" t="s">
        <v>41</v>
      </c>
      <c r="P9" s="2">
        <v>1.401E-12</v>
      </c>
      <c r="Q9" s="2">
        <v>0</v>
      </c>
      <c r="R9">
        <v>0</v>
      </c>
    </row>
    <row r="10" spans="1:18">
      <c r="A10">
        <v>7</v>
      </c>
      <c r="C10" t="s">
        <v>37</v>
      </c>
      <c r="D10" t="s">
        <v>16</v>
      </c>
      <c r="E10" t="s">
        <v>41</v>
      </c>
      <c r="F10" s="2">
        <v>1.401E-12</v>
      </c>
      <c r="G10" s="2">
        <v>0</v>
      </c>
      <c r="H10">
        <v>0</v>
      </c>
      <c r="I10" s="1">
        <f t="shared" si="0"/>
        <v>0.19193358358221221</v>
      </c>
      <c r="M10" t="s">
        <v>37</v>
      </c>
      <c r="N10" t="s">
        <v>16</v>
      </c>
      <c r="O10" t="s">
        <v>40</v>
      </c>
      <c r="P10" s="2">
        <v>1.401E-12</v>
      </c>
      <c r="Q10" s="2">
        <v>0</v>
      </c>
      <c r="R10">
        <v>0</v>
      </c>
    </row>
    <row r="11" spans="1:18">
      <c r="A11">
        <v>8</v>
      </c>
      <c r="C11" t="s">
        <v>37</v>
      </c>
      <c r="D11" t="s">
        <v>16</v>
      </c>
      <c r="E11" t="s">
        <v>40</v>
      </c>
      <c r="F11" s="2">
        <v>1.401E-12</v>
      </c>
      <c r="G11" s="2">
        <v>0</v>
      </c>
      <c r="H11">
        <v>0</v>
      </c>
      <c r="I11" s="1">
        <f t="shared" si="0"/>
        <v>0.19193358358221221</v>
      </c>
      <c r="M11" t="s">
        <v>37</v>
      </c>
      <c r="N11" t="s">
        <v>16</v>
      </c>
      <c r="O11" t="s">
        <v>39</v>
      </c>
      <c r="P11" s="2">
        <v>1.038E-12</v>
      </c>
      <c r="Q11" s="2">
        <v>0</v>
      </c>
      <c r="R11">
        <v>0</v>
      </c>
    </row>
    <row r="12" spans="1:18">
      <c r="A12">
        <v>9</v>
      </c>
      <c r="C12" t="s">
        <v>37</v>
      </c>
      <c r="D12" t="s">
        <v>16</v>
      </c>
      <c r="E12" t="s">
        <v>39</v>
      </c>
      <c r="F12" s="2">
        <v>1.038E-12</v>
      </c>
      <c r="G12" s="2">
        <v>0</v>
      </c>
      <c r="H12">
        <v>0</v>
      </c>
      <c r="I12" s="1">
        <f t="shared" si="0"/>
        <v>0.14220346877825574</v>
      </c>
      <c r="M12" t="s">
        <v>37</v>
      </c>
      <c r="N12" t="s">
        <v>16</v>
      </c>
      <c r="O12" t="s">
        <v>38</v>
      </c>
      <c r="P12" s="2">
        <v>1.757E-13</v>
      </c>
      <c r="Q12" s="2">
        <v>0</v>
      </c>
      <c r="R12">
        <v>0</v>
      </c>
    </row>
    <row r="13" spans="1:18">
      <c r="A13">
        <v>10</v>
      </c>
      <c r="C13" t="s">
        <v>37</v>
      </c>
      <c r="D13" t="s">
        <v>16</v>
      </c>
      <c r="E13" t="s">
        <v>38</v>
      </c>
      <c r="F13" s="2">
        <v>1.757E-13</v>
      </c>
      <c r="G13" s="2">
        <v>0</v>
      </c>
      <c r="H13">
        <v>0</v>
      </c>
      <c r="I13" s="1">
        <f t="shared" si="0"/>
        <v>2.4070471545606483E-2</v>
      </c>
      <c r="Q13" s="2"/>
    </row>
  </sheetData>
  <sortState ref="M3:R12">
    <sortCondition descending="1" ref="O3:O12"/>
  </sortState>
  <conditionalFormatting sqref="I3:I13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workbookViewId="0">
      <selection activeCell="O12" sqref="O12"/>
    </sheetView>
  </sheetViews>
  <sheetFormatPr defaultRowHeight="15"/>
  <sheetData>
    <row r="1" spans="1:16">
      <c r="B1">
        <v>1</v>
      </c>
      <c r="C1">
        <v>2</v>
      </c>
      <c r="D1">
        <v>3</v>
      </c>
      <c r="E1">
        <v>4</v>
      </c>
      <c r="F1">
        <v>5</v>
      </c>
      <c r="H1" t="s">
        <v>55</v>
      </c>
      <c r="P1" t="s">
        <v>54</v>
      </c>
    </row>
    <row r="2" spans="1:16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I2" t="s">
        <v>48</v>
      </c>
      <c r="J2" t="s">
        <v>49</v>
      </c>
      <c r="K2" t="s">
        <v>50</v>
      </c>
      <c r="L2" t="s">
        <v>51</v>
      </c>
      <c r="M2" t="s">
        <v>52</v>
      </c>
    </row>
    <row r="3" spans="1:16">
      <c r="A3">
        <f>'BR1'!$A3</f>
        <v>1</v>
      </c>
      <c r="B3" s="2">
        <f ca="1">VLOOKUP($A3,INDIRECT("'"&amp;B$2&amp;"'!"&amp;"$A$3:$F$13"),6,FALSE)</f>
        <v>0</v>
      </c>
      <c r="C3" s="2">
        <f t="shared" ref="C3:F12" ca="1" si="0">VLOOKUP($A3,INDIRECT("'"&amp;C$2&amp;"'!"&amp;"$A$3:$F$13"),6,FALSE)</f>
        <v>0</v>
      </c>
      <c r="D3" s="2">
        <f t="shared" ca="1" si="0"/>
        <v>1.757E-13</v>
      </c>
      <c r="E3" s="2">
        <f t="shared" ca="1" si="0"/>
        <v>1.757E-13</v>
      </c>
      <c r="F3" s="2">
        <f t="shared" ca="1" si="0"/>
        <v>1.757E-13</v>
      </c>
      <c r="H3" s="5" t="str">
        <f>CONCATENATE("C",A3)</f>
        <v>C1</v>
      </c>
      <c r="I3" s="31">
        <f ca="1">B3/SUM(B$3:B$12)</f>
        <v>0</v>
      </c>
      <c r="J3" s="31">
        <f ca="1">C3/SUM(C$3:C$12)</f>
        <v>0</v>
      </c>
      <c r="K3" s="31">
        <f ca="1">D3/SUM(D$3:D$12)</f>
        <v>2.3149490105141109E-2</v>
      </c>
      <c r="L3" s="31">
        <f ca="1">E3/SUM(E$3:E$12)</f>
        <v>2.4070471545606483E-2</v>
      </c>
      <c r="M3" s="31">
        <f ca="1">F3/SUM(F$3:F$12)</f>
        <v>2.4070471545606483E-2</v>
      </c>
    </row>
    <row r="4" spans="1:16">
      <c r="A4">
        <f>'BR1'!$A5</f>
        <v>2</v>
      </c>
      <c r="B4" s="2">
        <f t="shared" ref="B4:B12" ca="1" si="1">VLOOKUP($A4,INDIRECT("'"&amp;B$2&amp;"'!"&amp;"$A$3:$F$13"),6,FALSE)</f>
        <v>2.8139999999999999E-13</v>
      </c>
      <c r="C4" s="2">
        <f t="shared" ca="1" si="0"/>
        <v>0</v>
      </c>
      <c r="D4" s="2">
        <f t="shared" ca="1" si="0"/>
        <v>2.0759999999999999E-13</v>
      </c>
      <c r="E4" s="2">
        <f t="shared" ca="1" si="0"/>
        <v>1.038E-12</v>
      </c>
      <c r="F4" s="2">
        <f t="shared" ca="1" si="0"/>
        <v>1.038E-12</v>
      </c>
      <c r="H4" s="5" t="str">
        <f t="shared" ref="H4:H12" si="2">CONCATENATE("C",A4)</f>
        <v>C2</v>
      </c>
      <c r="I4" s="31">
        <f t="shared" ref="I4:M12" ca="1" si="3">B4/SUM(B$3:B$12)</f>
        <v>2.8304733549256673E-2</v>
      </c>
      <c r="J4" s="31">
        <f t="shared" ca="1" si="3"/>
        <v>0</v>
      </c>
      <c r="K4" s="31">
        <f t="shared" ca="1" si="3"/>
        <v>2.7352499407098999E-2</v>
      </c>
      <c r="L4" s="6">
        <f t="shared" ca="1" si="3"/>
        <v>0.14220346877825574</v>
      </c>
      <c r="M4" s="6">
        <f t="shared" ca="1" si="3"/>
        <v>0.14220346877825574</v>
      </c>
    </row>
    <row r="5" spans="1:16">
      <c r="A5">
        <f>'BR1'!$A6</f>
        <v>3</v>
      </c>
      <c r="B5" s="2">
        <f t="shared" ca="1" si="1"/>
        <v>1.407E-12</v>
      </c>
      <c r="C5" s="2">
        <f t="shared" ca="1" si="0"/>
        <v>2.84E-13</v>
      </c>
      <c r="D5" s="2">
        <f t="shared" ca="1" si="0"/>
        <v>1.086E-13</v>
      </c>
      <c r="E5" s="2">
        <f t="shared" ca="1" si="0"/>
        <v>2.8020000000000001E-13</v>
      </c>
      <c r="F5" s="2">
        <f t="shared" ca="1" si="0"/>
        <v>1.401E-12</v>
      </c>
      <c r="H5" s="5" t="str">
        <f t="shared" si="2"/>
        <v>C3</v>
      </c>
      <c r="I5" s="31">
        <f t="shared" ca="1" si="3"/>
        <v>0.14152366774628336</v>
      </c>
      <c r="J5" s="31">
        <f t="shared" ca="1" si="3"/>
        <v>3.2969584397492452E-2</v>
      </c>
      <c r="K5" s="31">
        <f t="shared" ca="1" si="3"/>
        <v>1.4308677435505545E-2</v>
      </c>
      <c r="L5" s="31">
        <f t="shared" ca="1" si="3"/>
        <v>3.8386716716442441E-2</v>
      </c>
      <c r="M5" s="31">
        <f t="shared" ca="1" si="3"/>
        <v>0.19193358358221221</v>
      </c>
    </row>
    <row r="6" spans="1:16">
      <c r="A6">
        <f>'BR1'!$A7</f>
        <v>4</v>
      </c>
      <c r="B6" s="2">
        <f t="shared" ca="1" si="1"/>
        <v>1.407E-12</v>
      </c>
      <c r="C6" s="2">
        <f t="shared" ca="1" si="0"/>
        <v>1.42E-12</v>
      </c>
      <c r="D6" s="2">
        <f t="shared" ca="1" si="0"/>
        <v>2.8020000000000001E-13</v>
      </c>
      <c r="E6" s="2">
        <f t="shared" ca="1" si="0"/>
        <v>1.086E-13</v>
      </c>
      <c r="F6" s="2">
        <f t="shared" ca="1" si="0"/>
        <v>2.8020000000000001E-13</v>
      </c>
      <c r="H6" s="5" t="str">
        <f t="shared" si="2"/>
        <v>C4</v>
      </c>
      <c r="I6" s="31">
        <f t="shared" ca="1" si="3"/>
        <v>0.14152366774628336</v>
      </c>
      <c r="J6" s="31">
        <f t="shared" ca="1" si="3"/>
        <v>0.16484792198746226</v>
      </c>
      <c r="K6" s="31">
        <f t="shared" ca="1" si="3"/>
        <v>3.6917968852934198E-2</v>
      </c>
      <c r="L6" s="31">
        <f t="shared" ca="1" si="3"/>
        <v>1.4877935172753922E-2</v>
      </c>
      <c r="M6" s="31">
        <f t="shared" ca="1" si="3"/>
        <v>3.8386716716442441E-2</v>
      </c>
    </row>
    <row r="7" spans="1:16">
      <c r="A7">
        <f>'BR1'!$A8</f>
        <v>5</v>
      </c>
      <c r="B7" s="2">
        <f t="shared" ca="1" si="1"/>
        <v>1.407E-12</v>
      </c>
      <c r="C7" s="2">
        <f t="shared" ca="1" si="0"/>
        <v>1.42E-12</v>
      </c>
      <c r="D7" s="2">
        <f t="shared" ca="1" si="0"/>
        <v>1.401E-12</v>
      </c>
      <c r="E7" s="2">
        <f t="shared" ca="1" si="0"/>
        <v>2.8020000000000001E-13</v>
      </c>
      <c r="F7" s="2">
        <f t="shared" ca="1" si="0"/>
        <v>1.086E-13</v>
      </c>
      <c r="H7" s="5" t="str">
        <f t="shared" si="2"/>
        <v>C5</v>
      </c>
      <c r="I7" s="31">
        <f t="shared" ca="1" si="3"/>
        <v>0.14152366774628336</v>
      </c>
      <c r="J7" s="31">
        <f t="shared" ca="1" si="3"/>
        <v>0.16484792198746226</v>
      </c>
      <c r="K7" s="31">
        <f t="shared" ca="1" si="3"/>
        <v>0.18458984426467098</v>
      </c>
      <c r="L7" s="31">
        <f t="shared" ca="1" si="3"/>
        <v>3.8386716716442441E-2</v>
      </c>
      <c r="M7" s="31">
        <f t="shared" ca="1" si="3"/>
        <v>1.4877935172753922E-2</v>
      </c>
    </row>
    <row r="8" spans="1:16">
      <c r="A8">
        <f>'BR1'!$A9</f>
        <v>6</v>
      </c>
      <c r="B8" s="2">
        <f t="shared" ca="1" si="1"/>
        <v>1.407E-12</v>
      </c>
      <c r="C8" s="2">
        <f t="shared" ca="1" si="0"/>
        <v>1.42E-12</v>
      </c>
      <c r="D8" s="2">
        <f t="shared" ca="1" si="0"/>
        <v>1.401E-12</v>
      </c>
      <c r="E8" s="2">
        <f t="shared" ca="1" si="0"/>
        <v>1.401E-12</v>
      </c>
      <c r="F8" s="2">
        <f t="shared" ca="1" si="0"/>
        <v>2.8020000000000001E-13</v>
      </c>
      <c r="H8" s="5" t="str">
        <f t="shared" si="2"/>
        <v>C6</v>
      </c>
      <c r="I8" s="31">
        <f t="shared" ca="1" si="3"/>
        <v>0.14152366774628336</v>
      </c>
      <c r="J8" s="31">
        <f t="shared" ca="1" si="3"/>
        <v>0.16484792198746226</v>
      </c>
      <c r="K8" s="31">
        <f t="shared" ca="1" si="3"/>
        <v>0.18458984426467098</v>
      </c>
      <c r="L8" s="31">
        <f t="shared" ca="1" si="3"/>
        <v>0.19193358358221221</v>
      </c>
      <c r="M8" s="31">
        <f t="shared" ca="1" si="3"/>
        <v>3.8386716716442441E-2</v>
      </c>
    </row>
    <row r="9" spans="1:16">
      <c r="A9">
        <f>'BR1'!$A10</f>
        <v>7</v>
      </c>
      <c r="B9" s="2">
        <f t="shared" ca="1" si="1"/>
        <v>1.407E-12</v>
      </c>
      <c r="C9" s="2">
        <f t="shared" ca="1" si="0"/>
        <v>1.42E-12</v>
      </c>
      <c r="D9" s="2">
        <f t="shared" ca="1" si="0"/>
        <v>1.401E-12</v>
      </c>
      <c r="E9" s="2">
        <f t="shared" ca="1" si="0"/>
        <v>1.401E-12</v>
      </c>
      <c r="F9" s="2">
        <f t="shared" ca="1" si="0"/>
        <v>1.401E-12</v>
      </c>
      <c r="H9" s="5" t="str">
        <f t="shared" si="2"/>
        <v>C7</v>
      </c>
      <c r="I9" s="31">
        <f t="shared" ca="1" si="3"/>
        <v>0.14152366774628336</v>
      </c>
      <c r="J9" s="31">
        <f t="shared" ca="1" si="3"/>
        <v>0.16484792198746226</v>
      </c>
      <c r="K9" s="31">
        <f t="shared" ca="1" si="3"/>
        <v>0.18458984426467098</v>
      </c>
      <c r="L9" s="31">
        <f t="shared" ca="1" si="3"/>
        <v>0.19193358358221221</v>
      </c>
      <c r="M9" s="31">
        <f t="shared" ca="1" si="3"/>
        <v>0.19193358358221221</v>
      </c>
    </row>
    <row r="10" spans="1:16">
      <c r="A10">
        <f>'BR1'!$A11</f>
        <v>8</v>
      </c>
      <c r="B10" s="2">
        <f t="shared" ca="1" si="1"/>
        <v>1.407E-12</v>
      </c>
      <c r="C10" s="2">
        <f t="shared" ca="1" si="0"/>
        <v>1.42E-12</v>
      </c>
      <c r="D10" s="2">
        <f t="shared" ca="1" si="0"/>
        <v>1.401E-12</v>
      </c>
      <c r="E10" s="2">
        <f t="shared" ca="1" si="0"/>
        <v>1.401E-12</v>
      </c>
      <c r="F10" s="2">
        <f t="shared" ca="1" si="0"/>
        <v>1.401E-12</v>
      </c>
      <c r="H10" s="5" t="str">
        <f t="shared" si="2"/>
        <v>C8</v>
      </c>
      <c r="I10" s="31">
        <f t="shared" ca="1" si="3"/>
        <v>0.14152366774628336</v>
      </c>
      <c r="J10" s="31">
        <f t="shared" ca="1" si="3"/>
        <v>0.16484792198746226</v>
      </c>
      <c r="K10" s="31">
        <f t="shared" ca="1" si="3"/>
        <v>0.18458984426467098</v>
      </c>
      <c r="L10" s="31">
        <f t="shared" ca="1" si="3"/>
        <v>0.19193358358221221</v>
      </c>
      <c r="M10" s="31">
        <f t="shared" ca="1" si="3"/>
        <v>0.19193358358221221</v>
      </c>
    </row>
    <row r="11" spans="1:16">
      <c r="A11">
        <f>'BR1'!$A12</f>
        <v>9</v>
      </c>
      <c r="B11" s="2">
        <f t="shared" ca="1" si="1"/>
        <v>1.042E-12</v>
      </c>
      <c r="C11" s="2">
        <f t="shared" ca="1" si="0"/>
        <v>1.052E-12</v>
      </c>
      <c r="D11" s="2">
        <f t="shared" ca="1" si="0"/>
        <v>1.038E-12</v>
      </c>
      <c r="E11" s="2">
        <f t="shared" ca="1" si="0"/>
        <v>1.038E-12</v>
      </c>
      <c r="F11" s="2">
        <f t="shared" ca="1" si="0"/>
        <v>1.038E-12</v>
      </c>
      <c r="H11" s="5" t="str">
        <f t="shared" si="2"/>
        <v>C9</v>
      </c>
      <c r="I11" s="6">
        <f t="shared" ca="1" si="3"/>
        <v>0.10480999416604639</v>
      </c>
      <c r="J11" s="6">
        <f t="shared" ca="1" si="3"/>
        <v>0.12212677037381006</v>
      </c>
      <c r="K11" s="6">
        <f t="shared" ca="1" si="3"/>
        <v>0.13676249703549501</v>
      </c>
      <c r="L11" s="6">
        <f t="shared" ca="1" si="3"/>
        <v>0.14220346877825574</v>
      </c>
      <c r="M11" s="6">
        <f t="shared" ca="1" si="3"/>
        <v>0.14220346877825574</v>
      </c>
    </row>
    <row r="12" spans="1:16">
      <c r="A12">
        <f>'BR1'!$A13</f>
        <v>10</v>
      </c>
      <c r="B12" s="2">
        <f t="shared" ca="1" si="1"/>
        <v>1.7640000000000001E-13</v>
      </c>
      <c r="C12" s="2">
        <f t="shared" ca="1" si="0"/>
        <v>1.78E-13</v>
      </c>
      <c r="D12" s="2">
        <f t="shared" ca="1" si="0"/>
        <v>1.757E-13</v>
      </c>
      <c r="E12" s="2">
        <f t="shared" ca="1" si="0"/>
        <v>1.757E-13</v>
      </c>
      <c r="F12" s="2">
        <f t="shared" ca="1" si="0"/>
        <v>1.757E-13</v>
      </c>
      <c r="H12" s="5" t="str">
        <f t="shared" si="2"/>
        <v>C10</v>
      </c>
      <c r="I12" s="31">
        <f t="shared" ca="1" si="3"/>
        <v>1.7743265806996721E-2</v>
      </c>
      <c r="J12" s="31">
        <f t="shared" ca="1" si="3"/>
        <v>2.0664035291386114E-2</v>
      </c>
      <c r="K12" s="31">
        <f t="shared" ca="1" si="3"/>
        <v>2.3149490105141109E-2</v>
      </c>
      <c r="L12" s="31">
        <f t="shared" ca="1" si="3"/>
        <v>2.4070471545606483E-2</v>
      </c>
      <c r="M12" s="31">
        <f t="shared" ca="1" si="3"/>
        <v>2.4070471545606483E-2</v>
      </c>
    </row>
    <row r="13" spans="1:16">
      <c r="B13" s="2"/>
    </row>
    <row r="14" spans="1:16">
      <c r="B14" s="2"/>
    </row>
    <row r="15" spans="1:16">
      <c r="B15" s="2"/>
    </row>
    <row r="16" spans="1:16">
      <c r="P16" t="s">
        <v>53</v>
      </c>
    </row>
  </sheetData>
  <conditionalFormatting sqref="I3:I12">
    <cfRule type="top10" dxfId="4" priority="1" rank="1"/>
  </conditionalFormatting>
  <conditionalFormatting sqref="J3:J12">
    <cfRule type="top10" dxfId="3" priority="5" rank="1"/>
  </conditionalFormatting>
  <conditionalFormatting sqref="L3:L12">
    <cfRule type="top10" dxfId="2" priority="4" rank="1"/>
  </conditionalFormatting>
  <conditionalFormatting sqref="K3:K12">
    <cfRule type="top10" dxfId="1" priority="3" rank="1"/>
  </conditionalFormatting>
  <conditionalFormatting sqref="M3:M12">
    <cfRule type="top10" dxfId="0" priority="2" rank="1"/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0"/>
  <sheetViews>
    <sheetView workbookViewId="0">
      <selection activeCell="B19" sqref="B19"/>
    </sheetView>
  </sheetViews>
  <sheetFormatPr defaultRowHeight="15"/>
  <cols>
    <col min="1" max="1" width="20.85546875" bestFit="1" customWidth="1"/>
    <col min="6" max="6" width="8.7109375" customWidth="1"/>
  </cols>
  <sheetData>
    <row r="2" spans="1:11">
      <c r="A2" t="s">
        <v>13</v>
      </c>
      <c r="B2">
        <v>1</v>
      </c>
      <c r="C2">
        <v>2</v>
      </c>
      <c r="D2">
        <v>3</v>
      </c>
      <c r="E2">
        <v>4</v>
      </c>
      <c r="F2">
        <v>5</v>
      </c>
    </row>
    <row r="3" spans="1:11">
      <c r="A3" s="3" t="s">
        <v>15</v>
      </c>
      <c r="B3" s="2">
        <f>VLOOKUP($A3,'[1]pathway analysis'!$A$4:$L$9,12,FALSE)</f>
        <v>9156097270839.3008</v>
      </c>
      <c r="C3" s="7">
        <f>VLOOKUP($A3,'[2]pathway analysis'!$A$4:$L$10,12,FALSE)</f>
        <v>7756543614305.4004</v>
      </c>
      <c r="D3" s="7">
        <f>VLOOKUP($A3,'[3]pathway analysis'!$A$4:$L$10,12,FALSE)</f>
        <v>6786203536289.2998</v>
      </c>
      <c r="E3" s="7">
        <f>VLOOKUP($A3,'[4]pathway analysis'!$A$4:$L$10,12,FALSE)</f>
        <v>6290022123539.5</v>
      </c>
      <c r="F3" s="7">
        <f>VLOOKUP($A3,'[5]pathway analysis'!$A$4:$L$10,12,FALSE)</f>
        <v>4950185323551.5996</v>
      </c>
      <c r="G3" s="3"/>
      <c r="H3" s="3" t="s">
        <v>18</v>
      </c>
      <c r="I3" s="3"/>
      <c r="J3" s="3"/>
      <c r="K3" s="7"/>
    </row>
    <row r="4" spans="1:11">
      <c r="A4" s="3" t="s">
        <v>31</v>
      </c>
      <c r="B4" s="2">
        <f>VLOOKUP($A4,'[1]pathway analysis'!$A$4:$L$9,12,FALSE)</f>
        <v>3266393900000</v>
      </c>
      <c r="C4" s="7">
        <f>VLOOKUP($A4,'[2]pathway analysis'!$A$4:$L$10,12,FALSE)</f>
        <v>3020306800000</v>
      </c>
      <c r="D4" s="7">
        <f>VLOOKUP($A4,'[3]pathway analysis'!$A$4:$L$10,12,FALSE)</f>
        <v>2774793700000</v>
      </c>
      <c r="E4" s="7">
        <f>VLOOKUP($A4,'[4]pathway analysis'!$A$4:$L$10,12,FALSE)</f>
        <v>2955850200000</v>
      </c>
      <c r="F4" s="7">
        <f>VLOOKUP($A4,'[5]pathway analysis'!$A$4:$L$10,12,FALSE)</f>
        <v>2622827600000</v>
      </c>
      <c r="G4" s="3"/>
      <c r="H4" s="3" t="s">
        <v>15</v>
      </c>
      <c r="I4" s="3"/>
      <c r="J4" s="3"/>
      <c r="K4" s="7"/>
    </row>
    <row r="5" spans="1:11">
      <c r="A5" s="3" t="s">
        <v>19</v>
      </c>
      <c r="B5" s="2">
        <f>VLOOKUP($A5,'[1]pathway analysis'!$A$4:$L$9,12,FALSE)</f>
        <v>212154800000</v>
      </c>
      <c r="C5" s="7">
        <f>VLOOKUP($A5,'[2]pathway analysis'!$A$4:$L$10,12,FALSE)</f>
        <v>517915800000</v>
      </c>
      <c r="D5" s="7">
        <f>VLOOKUP($A5,'[3]pathway analysis'!$A$4:$L$10,12,FALSE)</f>
        <v>549875600000</v>
      </c>
      <c r="E5" s="7">
        <f>VLOOKUP($A5,'[4]pathway analysis'!$A$4:$L$10,12,FALSE)</f>
        <v>1658279100000</v>
      </c>
      <c r="F5" s="7">
        <f>VLOOKUP($A5,'[5]pathway analysis'!$A$4:$L$10,12,FALSE)</f>
        <v>1291298400000</v>
      </c>
      <c r="G5" s="3"/>
      <c r="H5" s="3" t="s">
        <v>31</v>
      </c>
      <c r="I5" s="3"/>
      <c r="J5" s="3"/>
      <c r="K5" s="7"/>
    </row>
    <row r="6" spans="1:11">
      <c r="A6" s="3" t="s">
        <v>30</v>
      </c>
      <c r="B6" s="2">
        <f>VLOOKUP($A6,'[1]pathway analysis'!$A$4:$L$9,12,FALSE)</f>
        <v>0</v>
      </c>
      <c r="C6" s="7">
        <f>VLOOKUP($A6,'[2]pathway analysis'!$A$4:$L$10,12,FALSE)</f>
        <v>0</v>
      </c>
      <c r="D6" s="7">
        <f>VLOOKUP($A6,'[3]pathway analysis'!$A$4:$L$10,12,FALSE)</f>
        <v>0</v>
      </c>
      <c r="E6" s="7">
        <f>VLOOKUP($A6,'[4]pathway analysis'!$A$4:$L$10,12,FALSE)</f>
        <v>0</v>
      </c>
      <c r="F6" s="7">
        <f>VLOOKUP($A6,'[5]pathway analysis'!$A$4:$L$10,12,FALSE)</f>
        <v>0</v>
      </c>
      <c r="G6" s="3"/>
      <c r="H6" s="3" t="s">
        <v>19</v>
      </c>
      <c r="I6" s="3"/>
      <c r="J6" s="3"/>
      <c r="K6" s="7"/>
    </row>
    <row r="7" spans="1:11">
      <c r="A7" s="3" t="s">
        <v>18</v>
      </c>
      <c r="B7" s="2">
        <f>VLOOKUP($A7,'[1]pathway analysis'!$A$4:$L$9,12,FALSE)</f>
        <v>1001174.2</v>
      </c>
      <c r="C7" s="7">
        <f>VLOOKUP($A7,'[2]pathway analysis'!$A$4:$L$10,12,FALSE)</f>
        <v>5370772.2599999998</v>
      </c>
      <c r="D7" s="7">
        <f>VLOOKUP($A7,'[3]pathway analysis'!$A$4:$L$10,12,FALSE)</f>
        <v>98125515500</v>
      </c>
      <c r="E7" s="7">
        <f>VLOOKUP($A7,'[4]pathway analysis'!$A$4:$L$10,12,FALSE)</f>
        <v>150369193600</v>
      </c>
      <c r="F7" s="7">
        <f>VLOOKUP($A7,'[5]pathway analysis'!$A$4:$L$10,12,FALSE)</f>
        <v>100138111500</v>
      </c>
      <c r="G7" s="3"/>
      <c r="H7" s="3" t="s">
        <v>30</v>
      </c>
      <c r="I7" s="3"/>
      <c r="J7" s="3"/>
      <c r="K7" s="7"/>
    </row>
    <row r="8" spans="1:11">
      <c r="A8" s="3" t="s">
        <v>14</v>
      </c>
      <c r="B8" s="2">
        <f>VLOOKUP($A8,'[1]pathway analysis'!$A$4:$L$9,12,FALSE)</f>
        <v>0</v>
      </c>
      <c r="C8" s="7">
        <f>VLOOKUP($A8,'[2]pathway analysis'!$A$4:$L$10,12,FALSE)</f>
        <v>97812102108.199997</v>
      </c>
      <c r="D8" s="7">
        <f>VLOOKUP($A8,'[3]pathway analysis'!$A$4:$L$10,12,FALSE)</f>
        <v>183612074961.20001</v>
      </c>
      <c r="E8" s="7">
        <f>VLOOKUP($A8,'[4]pathway analysis'!$A$4:$L$10,12,FALSE)</f>
        <v>521385549335</v>
      </c>
      <c r="F8" s="7">
        <f>VLOOKUP($A8,'[5]pathway analysis'!$A$4:$L$10,12,FALSE)</f>
        <v>115641501437.8</v>
      </c>
      <c r="G8" s="3"/>
      <c r="H8" s="3" t="s">
        <v>14</v>
      </c>
      <c r="I8" s="3"/>
      <c r="J8" s="3"/>
      <c r="K8" s="7"/>
    </row>
    <row r="9" spans="1:11">
      <c r="C9" s="3"/>
      <c r="D9" s="3"/>
      <c r="E9" s="3"/>
      <c r="F9" s="3"/>
      <c r="G9" s="3"/>
      <c r="H9" s="3"/>
      <c r="I9" s="3"/>
      <c r="J9" s="3"/>
      <c r="K9" s="3"/>
    </row>
    <row r="10" spans="1:11">
      <c r="C10" s="3"/>
      <c r="D10" s="3"/>
      <c r="E10" s="3"/>
      <c r="F10" s="3"/>
      <c r="G10" s="3"/>
      <c r="H10" s="3"/>
      <c r="I10" s="3"/>
      <c r="J10" s="3"/>
      <c r="K10" s="3"/>
    </row>
    <row r="11" spans="1:11">
      <c r="A11" s="3" t="s">
        <v>26</v>
      </c>
      <c r="B11" s="4">
        <f>[1]soa_yield!$D14</f>
        <v>0.80018295193880384</v>
      </c>
      <c r="C11" s="30">
        <f>[2]soa_yield!$D14</f>
        <v>0.69840625150977431</v>
      </c>
      <c r="D11" s="30">
        <f>[3]soa_yield!$D14</f>
        <v>0.64303929422217865</v>
      </c>
      <c r="E11" s="8">
        <f>[4]soa_yield!$D14</f>
        <v>0.64450936081868127</v>
      </c>
      <c r="F11" s="8">
        <f>[5]soa_yield!$D14</f>
        <v>0.47699611628561339</v>
      </c>
      <c r="G11" s="3"/>
      <c r="H11" s="3"/>
      <c r="I11" s="3"/>
      <c r="J11" s="3"/>
      <c r="K11" s="8"/>
    </row>
    <row r="12" spans="1:11">
      <c r="A12" s="3" t="s">
        <v>27</v>
      </c>
      <c r="B12" s="4">
        <f>[1]soa_yield!$D15</f>
        <v>0.82843036721613805</v>
      </c>
      <c r="C12" s="30">
        <f>[2]soa_yield!$D15</f>
        <v>0.72549631722792185</v>
      </c>
      <c r="D12" s="30">
        <f>[3]soa_yield!$D15</f>
        <v>0.67112917826516261</v>
      </c>
      <c r="E12" s="8">
        <f>[4]soa_yield!$D15</f>
        <v>0.67558296232922055</v>
      </c>
      <c r="F12" s="8">
        <f>[5]soa_yield!$D15</f>
        <v>0.49754409691362639</v>
      </c>
      <c r="K12" s="8"/>
    </row>
    <row r="13" spans="1:11">
      <c r="A13" s="3" t="s">
        <v>28</v>
      </c>
      <c r="B13" s="4">
        <f>[1]soa_yield!$D16</f>
        <v>0.96154021948834389</v>
      </c>
      <c r="C13" s="30">
        <f>[2]soa_yield!$D16</f>
        <v>0.83692887891243439</v>
      </c>
      <c r="D13" s="30">
        <f>[3]soa_yield!$D16</f>
        <v>0.7712785188877449</v>
      </c>
      <c r="E13" s="8">
        <f>[4]soa_yield!$D16</f>
        <v>0.77261742131232602</v>
      </c>
      <c r="F13" s="8">
        <f>[5]soa_yield!$D16</f>
        <v>0.57474570237210476</v>
      </c>
      <c r="K13" s="9"/>
    </row>
    <row r="14" spans="1:11">
      <c r="A14" s="3" t="s">
        <v>29</v>
      </c>
      <c r="B14" s="4">
        <f>[1]soa_yield!$D17</f>
        <v>4.7255165511700732E-2</v>
      </c>
      <c r="C14" s="30">
        <f>[2]soa_yield!$D17</f>
        <v>5.1514661762541797E-2</v>
      </c>
      <c r="D14" s="30">
        <f>[3]soa_yield!$D17</f>
        <v>5.6353675675843422E-2</v>
      </c>
      <c r="E14" s="8">
        <f>[4]soa_yield!$D17</f>
        <v>6.157270436841996E-2</v>
      </c>
      <c r="F14" s="8">
        <f>[5]soa_yield!$D17</f>
        <v>5.827416300520448E-2</v>
      </c>
      <c r="K14" s="9"/>
    </row>
    <row r="15" spans="1:11">
      <c r="C15" s="3"/>
    </row>
    <row r="17" spans="1:8">
      <c r="A17" t="s">
        <v>57</v>
      </c>
    </row>
    <row r="18" spans="1:8">
      <c r="A18" t="s">
        <v>13</v>
      </c>
      <c r="B18">
        <v>1</v>
      </c>
      <c r="C18">
        <v>2</v>
      </c>
      <c r="D18">
        <v>3</v>
      </c>
      <c r="E18">
        <v>4</v>
      </c>
      <c r="F18">
        <v>5</v>
      </c>
    </row>
    <row r="19" spans="1:8">
      <c r="A19" s="3" t="s">
        <v>15</v>
      </c>
      <c r="B19" s="2">
        <f>VLOOKUP($A19,'[6]pathway analysis'!$A$4:$L$9,12,FALSE)</f>
        <v>9374749225216.5996</v>
      </c>
      <c r="C19" s="2">
        <f>VLOOKUP($A19,'[7]pathway analysis'!$A$4:$L$9,12,FALSE)</f>
        <v>8164762341759.2998</v>
      </c>
      <c r="D19" s="2">
        <f>VLOOKUP($A19,'[8]pathway analysis'!$A$4:$L$9,12,FALSE)</f>
        <v>7098079531974.9004</v>
      </c>
      <c r="E19" s="2">
        <f>VLOOKUP($A19,'[9]pathway analysis'!$A$4:$L$9,12,FALSE)</f>
        <v>6037319603027.2998</v>
      </c>
      <c r="F19" s="2">
        <f>VLOOKUP($A19,'[10]pathway analysis'!$A$4:$L$9,12,FALSE)</f>
        <v>5168248092553.2002</v>
      </c>
      <c r="G19" s="3"/>
      <c r="H19" s="3" t="s">
        <v>18</v>
      </c>
    </row>
    <row r="20" spans="1:8">
      <c r="A20" s="3" t="s">
        <v>31</v>
      </c>
      <c r="B20" s="2">
        <f>VLOOKUP($A20,'[6]pathway analysis'!$A$4:$L$9,12,FALSE)</f>
        <v>3372148800000</v>
      </c>
      <c r="C20" s="2">
        <f>VLOOKUP($A20,'[7]pathway analysis'!$A$4:$L$9,12,FALSE)</f>
        <v>3347238700000</v>
      </c>
      <c r="D20" s="2">
        <f>VLOOKUP($A20,'[8]pathway analysis'!$A$4:$L$9,12,FALSE)</f>
        <v>3042271500000</v>
      </c>
      <c r="E20" s="2">
        <f>VLOOKUP($A20,'[9]pathway analysis'!$A$4:$L$9,12,FALSE)</f>
        <v>2676484300000</v>
      </c>
      <c r="F20" s="2">
        <f>VLOOKUP($A20,'[10]pathway analysis'!$A$4:$L$9,12,FALSE)</f>
        <v>2935000600000</v>
      </c>
      <c r="G20" s="3"/>
      <c r="H20" s="3" t="s">
        <v>15</v>
      </c>
    </row>
    <row r="21" spans="1:8">
      <c r="A21" s="3" t="s">
        <v>19</v>
      </c>
      <c r="B21" s="2">
        <f>VLOOKUP($A21,'[6]pathway analysis'!$A$4:$L$9,12,FALSE)</f>
        <v>577903200000</v>
      </c>
      <c r="C21" s="2">
        <f>VLOOKUP($A21,'[7]pathway analysis'!$A$4:$L$9,12,FALSE)</f>
        <v>1106811700000</v>
      </c>
      <c r="D21" s="2">
        <f>VLOOKUP($A21,'[8]pathway analysis'!$A$4:$L$9,12,FALSE)</f>
        <v>1151903400000</v>
      </c>
      <c r="E21" s="2">
        <f>VLOOKUP($A21,'[9]pathway analysis'!$A$4:$L$9,12,FALSE)</f>
        <v>803770400000</v>
      </c>
      <c r="F21" s="2">
        <f>VLOOKUP($A21,'[10]pathway analysis'!$A$4:$L$9,12,FALSE)</f>
        <v>2629569800000</v>
      </c>
      <c r="G21" s="3"/>
      <c r="H21" s="3" t="s">
        <v>31</v>
      </c>
    </row>
    <row r="22" spans="1:8">
      <c r="A22" s="3" t="s">
        <v>30</v>
      </c>
      <c r="B22" s="2">
        <f>VLOOKUP($A22,'[6]pathway analysis'!$A$4:$L$9,12,FALSE)</f>
        <v>0</v>
      </c>
      <c r="C22" s="2">
        <f>VLOOKUP($A22,'[7]pathway analysis'!$A$4:$L$9,12,FALSE)</f>
        <v>0</v>
      </c>
      <c r="D22" s="2">
        <f>VLOOKUP($A22,'[8]pathway analysis'!$A$4:$L$9,12,FALSE)</f>
        <v>0</v>
      </c>
      <c r="E22" s="2">
        <f>VLOOKUP($A22,'[9]pathway analysis'!$A$4:$L$9,12,FALSE)</f>
        <v>0</v>
      </c>
      <c r="F22" s="2">
        <f>VLOOKUP($A22,'[10]pathway analysis'!$A$4:$L$9,12,FALSE)</f>
        <v>0</v>
      </c>
      <c r="G22" s="3"/>
      <c r="H22" s="3" t="s">
        <v>19</v>
      </c>
    </row>
    <row r="23" spans="1:8">
      <c r="A23" s="3" t="s">
        <v>18</v>
      </c>
      <c r="B23" s="2">
        <f>VLOOKUP($A23,'[6]pathway analysis'!$A$4:$L$9,12,FALSE)</f>
        <v>0</v>
      </c>
      <c r="C23" s="2">
        <f>VLOOKUP($A23,'[7]pathway analysis'!$A$4:$L$9,12,FALSE)</f>
        <v>4981789.0600000005</v>
      </c>
      <c r="D23" s="2">
        <f>VLOOKUP($A23,'[8]pathway analysis'!$A$4:$L$9,12,FALSE)</f>
        <v>148080655000</v>
      </c>
      <c r="E23" s="2">
        <f>VLOOKUP($A23,'[9]pathway analysis'!$A$4:$L$9,12,FALSE)</f>
        <v>100444712300</v>
      </c>
      <c r="F23" s="2">
        <f>VLOOKUP($A23,'[10]pathway analysis'!$A$4:$L$9,12,FALSE)</f>
        <v>151265086100</v>
      </c>
      <c r="G23" s="3"/>
      <c r="H23" s="3" t="s">
        <v>30</v>
      </c>
    </row>
    <row r="24" spans="1:8">
      <c r="A24" s="3" t="s">
        <v>14</v>
      </c>
      <c r="B24" s="2">
        <f>VLOOKUP($A24,'[6]pathway analysis'!$A$4:$L$9,12,FALSE)</f>
        <v>0</v>
      </c>
      <c r="C24" s="2">
        <f>VLOOKUP($A24,'[7]pathway analysis'!$A$4:$L$9,12,FALSE)</f>
        <v>238319742982.79999</v>
      </c>
      <c r="D24" s="2">
        <f>VLOOKUP($A24,'[8]pathway analysis'!$A$4:$L$9,12,FALSE)</f>
        <v>492998101638.09998</v>
      </c>
      <c r="E24" s="2">
        <f>VLOOKUP($A24,'[9]pathway analysis'!$A$4:$L$9,12,FALSE)</f>
        <v>172322158271.70001</v>
      </c>
      <c r="F24" s="2">
        <f>VLOOKUP($A24,'[10]pathway analysis'!$A$4:$L$9,12,FALSE)</f>
        <v>439644578298</v>
      </c>
      <c r="G24" s="3"/>
      <c r="H24" s="3" t="s">
        <v>14</v>
      </c>
    </row>
    <row r="27" spans="1:8">
      <c r="A27" s="3" t="s">
        <v>26</v>
      </c>
      <c r="B27" s="4">
        <f>[6]soa_yield!$D14</f>
        <v>0.89122413727407823</v>
      </c>
      <c r="C27" s="4">
        <f>[7]soa_yield!$D14</f>
        <v>0.77804685266468221</v>
      </c>
      <c r="D27" s="4">
        <f>[8]soa_yield!$D14</f>
        <v>0.71072886501446131</v>
      </c>
      <c r="E27" s="4">
        <f>[9]soa_yield!$D14</f>
        <v>0.5816077953714982</v>
      </c>
      <c r="F27" s="4">
        <f>[10]soa_yield!$D14</f>
        <v>0.53638898059498918</v>
      </c>
    </row>
    <row r="28" spans="1:8">
      <c r="A28" s="3" t="s">
        <v>27</v>
      </c>
      <c r="B28" s="4">
        <f>[6]soa_yield!$D15</f>
        <v>0.92458082155680732</v>
      </c>
      <c r="C28" s="4">
        <f>[7]soa_yield!$D15</f>
        <v>0.81098224033909627</v>
      </c>
      <c r="D28" s="4">
        <f>[8]soa_yield!$D15</f>
        <v>0.7442559090113321</v>
      </c>
      <c r="E28" s="4">
        <f>[9]soa_yield!$D15</f>
        <v>0.60766229023182405</v>
      </c>
      <c r="F28" s="4">
        <f>[10]soa_yield!$D15</f>
        <v>0.561151512452992</v>
      </c>
    </row>
    <row r="29" spans="1:8">
      <c r="A29" s="3" t="s">
        <v>28</v>
      </c>
      <c r="B29" s="4">
        <f>[6]soa_yield!$D16</f>
        <v>1.0676736519258032</v>
      </c>
      <c r="C29" s="4">
        <f>[7]soa_yield!$D16</f>
        <v>0.93015849487223501</v>
      </c>
      <c r="D29" s="4">
        <f>[8]soa_yield!$D16</f>
        <v>0.85019135915913657</v>
      </c>
      <c r="E29" s="4">
        <f>[9]soa_yield!$D16</f>
        <v>0.69913011390141555</v>
      </c>
      <c r="F29" s="4">
        <f>[10]soa_yield!$D16</f>
        <v>0.64360993829182611</v>
      </c>
    </row>
    <row r="30" spans="1:8">
      <c r="A30" s="3" t="s">
        <v>29</v>
      </c>
      <c r="B30" s="4">
        <f>[6]soa_yield!$D17</f>
        <v>5.0301742596435745E-2</v>
      </c>
      <c r="C30" s="4">
        <f>[7]soa_yield!$D17</f>
        <v>5.4772985009756241E-2</v>
      </c>
      <c r="D30" s="4">
        <f>[8]soa_yield!$D17</f>
        <v>5.9751345228459783E-2</v>
      </c>
      <c r="E30" s="4">
        <f>[9]soa_yield!$D17</f>
        <v>5.8189512594769448E-2</v>
      </c>
      <c r="F30" s="4">
        <f>[10]soa_yield!$D17</f>
        <v>6.1449784293416174E-2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2"/>
  <sheetViews>
    <sheetView workbookViewId="0">
      <selection activeCell="F3" sqref="F3"/>
    </sheetView>
  </sheetViews>
  <sheetFormatPr defaultRowHeight="15"/>
  <cols>
    <col min="1" max="1" width="20.85546875" bestFit="1" customWidth="1"/>
    <col min="6" max="6" width="8.7109375" customWidth="1"/>
  </cols>
  <sheetData>
    <row r="2" spans="1:11">
      <c r="A2" t="s">
        <v>13</v>
      </c>
      <c r="B2">
        <v>1</v>
      </c>
      <c r="C2">
        <v>2</v>
      </c>
      <c r="D2">
        <v>3</v>
      </c>
      <c r="E2">
        <v>4</v>
      </c>
      <c r="F2">
        <v>5</v>
      </c>
    </row>
    <row r="3" spans="1:11">
      <c r="A3" s="3" t="s">
        <v>15</v>
      </c>
      <c r="B3" s="2" t="e">
        <f>VLOOKUP($A3,#REF!,12,FALSE)</f>
        <v>#REF!</v>
      </c>
      <c r="C3" s="2" t="e">
        <f>VLOOKUP($A3,#REF!,12,FALSE)</f>
        <v>#REF!</v>
      </c>
      <c r="D3" s="2">
        <f>VLOOKUP($A3,'[11]pathway analysis'!$A$4:$L$10,12,FALSE)</f>
        <v>0</v>
      </c>
      <c r="E3" s="2" t="e">
        <f>VLOOKUP($A3,#REF!,12,FALSE)</f>
        <v>#REF!</v>
      </c>
      <c r="F3" s="2" t="e">
        <f>VLOOKUP($A3,#REF!,12,FALSE)</f>
        <v>#REF!</v>
      </c>
      <c r="G3" s="3"/>
      <c r="H3" s="3"/>
      <c r="I3" s="3"/>
      <c r="J3" s="3"/>
      <c r="K3" s="7"/>
    </row>
    <row r="4" spans="1:11">
      <c r="A4" s="3" t="s">
        <v>58</v>
      </c>
      <c r="B4" s="2" t="e">
        <f>VLOOKUP($A4,#REF!,12,FALSE)</f>
        <v>#REF!</v>
      </c>
      <c r="C4" s="2" t="e">
        <f>VLOOKUP($A4,#REF!,12,FALSE)</f>
        <v>#REF!</v>
      </c>
      <c r="D4" s="2">
        <f>VLOOKUP($A4,'[11]pathway analysis'!$A$4:$L$10,12,FALSE)</f>
        <v>0</v>
      </c>
      <c r="E4" s="2" t="e">
        <f>VLOOKUP($A4,#REF!,12,FALSE)</f>
        <v>#REF!</v>
      </c>
      <c r="F4" s="2" t="e">
        <f>VLOOKUP($A4,#REF!,12,FALSE)</f>
        <v>#REF!</v>
      </c>
      <c r="G4" s="3"/>
      <c r="H4" s="3"/>
      <c r="I4" s="3"/>
      <c r="J4" s="3"/>
      <c r="K4" s="7"/>
    </row>
    <row r="5" spans="1:11">
      <c r="A5" s="3" t="s">
        <v>31</v>
      </c>
      <c r="B5" s="2" t="e">
        <f>VLOOKUP($A5,#REF!,12,FALSE)</f>
        <v>#REF!</v>
      </c>
      <c r="C5" s="2" t="e">
        <f>VLOOKUP($A5,#REF!,12,FALSE)</f>
        <v>#REF!</v>
      </c>
      <c r="D5" s="2">
        <f>VLOOKUP($A5,'[11]pathway analysis'!$A$4:$L$10,12,FALSE)</f>
        <v>0</v>
      </c>
      <c r="E5" s="2" t="e">
        <f>VLOOKUP($A5,#REF!,12,FALSE)</f>
        <v>#REF!</v>
      </c>
      <c r="F5" s="2" t="e">
        <f>VLOOKUP($A5,#REF!,12,FALSE)</f>
        <v>#REF!</v>
      </c>
      <c r="G5" s="3"/>
      <c r="H5" s="3"/>
      <c r="I5" s="3"/>
      <c r="J5" s="3"/>
      <c r="K5" s="7"/>
    </row>
    <row r="6" spans="1:11">
      <c r="A6" s="3" t="s">
        <v>19</v>
      </c>
      <c r="B6" s="2" t="e">
        <f>VLOOKUP($A6,#REF!,12,FALSE)</f>
        <v>#REF!</v>
      </c>
      <c r="C6" s="2" t="e">
        <f>VLOOKUP($A6,#REF!,12,FALSE)</f>
        <v>#REF!</v>
      </c>
      <c r="D6" s="2">
        <f>VLOOKUP($A6,'[11]pathway analysis'!$A$4:$L$10,12,FALSE)</f>
        <v>0</v>
      </c>
      <c r="E6" s="2" t="e">
        <f>VLOOKUP($A6,#REF!,12,FALSE)</f>
        <v>#REF!</v>
      </c>
      <c r="F6" s="2" t="e">
        <f>VLOOKUP($A6,#REF!,12,FALSE)</f>
        <v>#REF!</v>
      </c>
      <c r="G6" s="3"/>
      <c r="H6" s="3"/>
      <c r="I6" s="3"/>
      <c r="J6" s="3"/>
      <c r="K6" s="7"/>
    </row>
    <row r="7" spans="1:11">
      <c r="A7" s="3" t="s">
        <v>30</v>
      </c>
      <c r="B7" s="2" t="e">
        <f>VLOOKUP($A7,#REF!,12,FALSE)</f>
        <v>#REF!</v>
      </c>
      <c r="C7" s="2" t="e">
        <f>VLOOKUP($A7,#REF!,12,FALSE)</f>
        <v>#REF!</v>
      </c>
      <c r="D7" s="2">
        <f>VLOOKUP($A7,'[11]pathway analysis'!$A$4:$L$10,12,FALSE)</f>
        <v>0</v>
      </c>
      <c r="E7" s="2" t="e">
        <f>VLOOKUP($A7,#REF!,12,FALSE)</f>
        <v>#REF!</v>
      </c>
      <c r="F7" s="2" t="e">
        <f>VLOOKUP($A7,#REF!,12,FALSE)</f>
        <v>#REF!</v>
      </c>
      <c r="G7" s="3"/>
      <c r="H7" s="3"/>
      <c r="I7" s="3"/>
      <c r="J7" s="3"/>
      <c r="K7" s="7"/>
    </row>
    <row r="8" spans="1:11">
      <c r="A8" s="3" t="s">
        <v>18</v>
      </c>
      <c r="B8" s="2" t="e">
        <f>VLOOKUP($A8,#REF!,12,FALSE)</f>
        <v>#REF!</v>
      </c>
      <c r="C8" s="2" t="e">
        <f>VLOOKUP($A8,#REF!,12,FALSE)</f>
        <v>#REF!</v>
      </c>
      <c r="D8" s="2">
        <f>VLOOKUP($A8,'[11]pathway analysis'!$A$4:$L$10,12,FALSE)</f>
        <v>0</v>
      </c>
      <c r="E8" s="2" t="e">
        <f>VLOOKUP($A8,#REF!,12,FALSE)</f>
        <v>#REF!</v>
      </c>
      <c r="F8" s="2" t="e">
        <f>VLOOKUP($A8,#REF!,12,FALSE)</f>
        <v>#REF!</v>
      </c>
      <c r="G8" s="3"/>
      <c r="H8" s="3"/>
      <c r="I8" s="3"/>
      <c r="J8" s="3"/>
      <c r="K8" s="7"/>
    </row>
    <row r="9" spans="1:11">
      <c r="A9" s="3" t="s">
        <v>14</v>
      </c>
      <c r="B9" s="2" t="e">
        <f>VLOOKUP($A9,#REF!,12,FALSE)</f>
        <v>#REF!</v>
      </c>
      <c r="C9" s="2" t="e">
        <f>VLOOKUP($A9,#REF!,12,FALSE)</f>
        <v>#REF!</v>
      </c>
      <c r="D9" s="2">
        <f>VLOOKUP($A9,'[11]pathway analysis'!$A$4:$L$10,12,FALSE)</f>
        <v>0</v>
      </c>
      <c r="E9" s="2" t="e">
        <f>VLOOKUP($A9,#REF!,12,FALSE)</f>
        <v>#REF!</v>
      </c>
      <c r="F9" s="2" t="e">
        <f>VLOOKUP($A9,#REF!,12,FALSE)</f>
        <v>#REF!</v>
      </c>
      <c r="G9" s="3"/>
      <c r="H9" s="3"/>
      <c r="I9" s="3"/>
      <c r="J9" s="3"/>
      <c r="K9" s="7"/>
    </row>
    <row r="10" spans="1:11">
      <c r="C10" s="3"/>
      <c r="D10" s="3"/>
      <c r="E10" s="3"/>
      <c r="F10" s="3"/>
      <c r="G10" s="3"/>
      <c r="H10" s="3"/>
      <c r="I10" s="3"/>
      <c r="J10" s="3"/>
      <c r="K10" s="3"/>
    </row>
    <row r="11" spans="1:11">
      <c r="C11" s="3"/>
      <c r="D11" s="3"/>
      <c r="E11" s="3"/>
      <c r="F11" s="3"/>
      <c r="G11" s="3"/>
      <c r="H11" s="3"/>
      <c r="I11" s="3"/>
      <c r="J11" s="3"/>
      <c r="K11" s="3"/>
    </row>
    <row r="12" spans="1:11">
      <c r="A12" s="3" t="s">
        <v>26</v>
      </c>
      <c r="B12" s="4">
        <f>[12]soa_yield!$D14</f>
        <v>0.70650890940953293</v>
      </c>
      <c r="C12" s="4">
        <f>[13]soa_yield!$D14</f>
        <v>0.6638047170710597</v>
      </c>
      <c r="D12" s="4">
        <f>[11]soa_yield!$D14</f>
        <v>0.63703168119205889</v>
      </c>
      <c r="E12" s="4">
        <f>[14]soa_yield!$D14</f>
        <v>0.64531049092069603</v>
      </c>
      <c r="F12" s="4">
        <f>[15]soa_yield!$D14</f>
        <v>0.54248896929865043</v>
      </c>
      <c r="G12" s="3"/>
      <c r="H12" s="3"/>
      <c r="I12" s="3"/>
      <c r="J12" s="3"/>
      <c r="K12" s="8"/>
    </row>
    <row r="13" spans="1:11">
      <c r="A13" s="3" t="s">
        <v>27</v>
      </c>
      <c r="B13" s="4">
        <f>[12]soa_yield!$D15</f>
        <v>0.72787699164034703</v>
      </c>
      <c r="C13" s="4">
        <f>[13]soa_yield!$D15</f>
        <v>0.68860877531204967</v>
      </c>
      <c r="D13" s="4">
        <f>[11]soa_yield!$D15</f>
        <v>0.66963137285718322</v>
      </c>
      <c r="E13" s="4">
        <f>[14]soa_yield!$D15</f>
        <v>0.67559126995460161</v>
      </c>
      <c r="F13" s="4">
        <f>[15]soa_yield!$D15</f>
        <v>0.56674506591861329</v>
      </c>
      <c r="K13" s="8"/>
    </row>
    <row r="14" spans="1:11">
      <c r="A14" s="3" t="s">
        <v>28</v>
      </c>
      <c r="B14" s="4">
        <f>[12]soa_yield!$D16</f>
        <v>0.83967542399839701</v>
      </c>
      <c r="C14" s="4">
        <f>[13]soa_yield!$D16</f>
        <v>0.77771384828096179</v>
      </c>
      <c r="D14" s="4">
        <f>[11]soa_yield!$D16</f>
        <v>0.7438271955736947</v>
      </c>
      <c r="E14" s="4">
        <f>[14]soa_yield!$D16</f>
        <v>0.74622423593081888</v>
      </c>
      <c r="F14" s="4">
        <f>[15]soa_yield!$D16</f>
        <v>0.62567772864820626</v>
      </c>
      <c r="K14" s="9"/>
    </row>
    <row r="15" spans="1:11">
      <c r="A15" s="3" t="s">
        <v>29</v>
      </c>
      <c r="B15" s="4">
        <f>[12]soa_yield!$D17</f>
        <v>4.6716346304669601E-2</v>
      </c>
      <c r="C15" s="4">
        <f>[13]soa_yield!$D17</f>
        <v>5.4640918176537011E-2</v>
      </c>
      <c r="D15" s="4">
        <f>[11]soa_yield!$D17</f>
        <v>6.5207368754027828E-2</v>
      </c>
      <c r="E15" s="4">
        <f>[14]soa_yield!$D17</f>
        <v>6.1940369211597478E-2</v>
      </c>
      <c r="F15" s="4">
        <f>[15]soa_yield!$D17</f>
        <v>6.178813439694323E-2</v>
      </c>
      <c r="K15" s="9"/>
    </row>
    <row r="16" spans="1:11">
      <c r="C16" s="3"/>
    </row>
    <row r="18" spans="1:8">
      <c r="A18" t="s">
        <v>57</v>
      </c>
    </row>
    <row r="19" spans="1:8">
      <c r="A19" t="s">
        <v>13</v>
      </c>
      <c r="B19">
        <v>1</v>
      </c>
      <c r="C19">
        <v>2</v>
      </c>
      <c r="D19">
        <v>3</v>
      </c>
      <c r="E19">
        <v>4</v>
      </c>
      <c r="F19">
        <v>5</v>
      </c>
    </row>
    <row r="20" spans="1:8">
      <c r="A20" s="3" t="s">
        <v>15</v>
      </c>
      <c r="B20" s="7">
        <f>VLOOKUP($A20,'[16]pathway analysis'!$A$4:$L$10,12,FALSE)</f>
        <v>10847953467504.18</v>
      </c>
      <c r="C20" s="7">
        <f>VLOOKUP($A20,'[17]pathway analysis'!$A$4:$L$10,12,FALSE)</f>
        <v>7741068474187.2139</v>
      </c>
      <c r="D20" s="7" t="e">
        <f>VLOOKUP($A20,#REF!,12,FALSE)</f>
        <v>#REF!</v>
      </c>
      <c r="E20" s="7">
        <f>VLOOKUP($A20,'[18]pathway analysis'!$A$4:$L$10,12,FALSE)</f>
        <v>7427720238851.6553</v>
      </c>
      <c r="F20" s="7">
        <f>VLOOKUP($A20,'[19]pathway analysis'!$A$4:$L$10,12,FALSE)</f>
        <v>7068460264363.8457</v>
      </c>
      <c r="G20" s="3"/>
      <c r="H20" s="3"/>
    </row>
    <row r="21" spans="1:8">
      <c r="A21" s="3" t="s">
        <v>58</v>
      </c>
      <c r="B21" s="7" t="e">
        <f>VLOOKUP($A21,#REF!,12,FALSE)</f>
        <v>#REF!</v>
      </c>
      <c r="C21" s="7" t="e">
        <f>VLOOKUP($A21,#REF!,12,FALSE)</f>
        <v>#REF!</v>
      </c>
      <c r="D21" s="7" t="e">
        <f>VLOOKUP($A21,#REF!,12,FALSE)</f>
        <v>#REF!</v>
      </c>
      <c r="E21" s="7">
        <f>VLOOKUP($A21,'[18]pathway analysis'!$A$4:$L$10,12,FALSE)</f>
        <v>657712196078.49731</v>
      </c>
      <c r="F21" s="7">
        <f>VLOOKUP($A21,'[19]pathway analysis'!$A$4:$L$10,12,FALSE)</f>
        <v>536950253628.52307</v>
      </c>
      <c r="G21" s="3"/>
      <c r="H21" s="3"/>
    </row>
    <row r="22" spans="1:8">
      <c r="A22" s="3" t="s">
        <v>31</v>
      </c>
      <c r="B22" s="7" t="e">
        <f>VLOOKUP($A22,#REF!,12,FALSE)</f>
        <v>#REF!</v>
      </c>
      <c r="C22" s="7" t="e">
        <f>VLOOKUP($A22,#REF!,12,FALSE)</f>
        <v>#REF!</v>
      </c>
      <c r="D22" s="7" t="e">
        <f>VLOOKUP($A22,#REF!,12,FALSE)</f>
        <v>#REF!</v>
      </c>
      <c r="E22" s="7">
        <f>VLOOKUP($A22,'[18]pathway analysis'!$A$4:$L$10,12,FALSE)</f>
        <v>2691881551409.0439</v>
      </c>
      <c r="F22" s="7">
        <f>VLOOKUP($A22,'[19]pathway analysis'!$A$4:$L$10,12,FALSE)</f>
        <v>2674939572616.0098</v>
      </c>
      <c r="G22" s="3"/>
      <c r="H22" s="3"/>
    </row>
    <row r="23" spans="1:8">
      <c r="A23" s="3" t="s">
        <v>19</v>
      </c>
      <c r="B23" s="7" t="e">
        <f>VLOOKUP($A23,#REF!,12,FALSE)</f>
        <v>#REF!</v>
      </c>
      <c r="C23" s="7" t="e">
        <f>VLOOKUP($A23,#REF!,12,FALSE)</f>
        <v>#REF!</v>
      </c>
      <c r="D23" s="7" t="e">
        <f>VLOOKUP($A23,#REF!,12,FALSE)</f>
        <v>#REF!</v>
      </c>
      <c r="E23" s="7">
        <f>VLOOKUP($A23,'[18]pathway analysis'!$A$4:$L$10,12,FALSE)</f>
        <v>401794794678.70001</v>
      </c>
      <c r="F23" s="7">
        <f>VLOOKUP($A23,'[19]pathway analysis'!$A$4:$L$10,12,FALSE)</f>
        <v>659418959310</v>
      </c>
      <c r="G23" s="3"/>
      <c r="H23" s="3"/>
    </row>
    <row r="24" spans="1:8">
      <c r="A24" s="3" t="s">
        <v>30</v>
      </c>
      <c r="B24" s="7" t="e">
        <f>VLOOKUP($A24,#REF!,12,FALSE)</f>
        <v>#REF!</v>
      </c>
      <c r="C24" s="7" t="e">
        <f>VLOOKUP($A24,#REF!,12,FALSE)</f>
        <v>#REF!</v>
      </c>
      <c r="D24" s="7" t="e">
        <f>VLOOKUP($A24,#REF!,12,FALSE)</f>
        <v>#REF!</v>
      </c>
      <c r="E24" s="7">
        <f>VLOOKUP($A24,'[18]pathway analysis'!$A$4:$L$10,12,FALSE)</f>
        <v>1683759327.2029002</v>
      </c>
      <c r="F24" s="7">
        <f>VLOOKUP($A24,'[19]pathway analysis'!$A$4:$L$10,12,FALSE)</f>
        <v>3462932040.9616003</v>
      </c>
      <c r="G24" s="3"/>
      <c r="H24" s="3"/>
    </row>
    <row r="25" spans="1:8">
      <c r="A25" s="3" t="s">
        <v>18</v>
      </c>
      <c r="B25" s="7" t="e">
        <f>VLOOKUP($A25,#REF!,12,FALSE)</f>
        <v>#REF!</v>
      </c>
      <c r="C25" s="7" t="e">
        <f>VLOOKUP($A25,#REF!,12,FALSE)</f>
        <v>#REF!</v>
      </c>
      <c r="D25" s="7" t="e">
        <f>VLOOKUP($A25,#REF!,12,FALSE)</f>
        <v>#REF!</v>
      </c>
      <c r="E25" s="7">
        <f>VLOOKUP($A25,'[18]pathway analysis'!$A$4:$L$10,12,FALSE)</f>
        <v>100014924000</v>
      </c>
      <c r="F25" s="7">
        <f>VLOOKUP($A25,'[19]pathway analysis'!$A$4:$L$10,12,FALSE)</f>
        <v>100037432800</v>
      </c>
      <c r="G25" s="3"/>
      <c r="H25" s="3"/>
    </row>
    <row r="26" spans="1:8">
      <c r="A26" s="3" t="s">
        <v>14</v>
      </c>
      <c r="B26" s="7" t="e">
        <f>VLOOKUP($A26,#REF!,12,FALSE)</f>
        <v>#REF!</v>
      </c>
      <c r="C26" s="7" t="e">
        <f>VLOOKUP($A26,#REF!,12,FALSE)</f>
        <v>#REF!</v>
      </c>
      <c r="D26" s="7" t="e">
        <f>VLOOKUP($A26,#REF!,12,FALSE)</f>
        <v>#REF!</v>
      </c>
      <c r="E26" s="7">
        <f>VLOOKUP($A26,'[18]pathway analysis'!$A$4:$L$10,12,FALSE)</f>
        <v>2361370908846.0356</v>
      </c>
      <c r="F26" s="7">
        <f>VLOOKUP($A26,'[19]pathway analysis'!$A$4:$L$10,12,FALSE)</f>
        <v>2180868273642.4983</v>
      </c>
    </row>
    <row r="27" spans="1:8">
      <c r="B27" s="3"/>
      <c r="C27" s="3"/>
      <c r="D27" s="3"/>
      <c r="E27" s="3"/>
      <c r="F27" s="3"/>
    </row>
    <row r="28" spans="1:8">
      <c r="A28" t="s">
        <v>59</v>
      </c>
      <c r="B28" s="8">
        <f>[16]soa_yield!$D13</f>
        <v>0.58425388571428571</v>
      </c>
      <c r="C28" s="8">
        <f>[17]soa_yield!$D13</f>
        <v>0.541469080952381</v>
      </c>
      <c r="D28" s="8">
        <f>[20]soa_yield!$D13</f>
        <v>0.49984875238095239</v>
      </c>
      <c r="E28" s="8">
        <f>[18]soa_yield!$D13</f>
        <v>0.49192605238095238</v>
      </c>
      <c r="F28" s="8">
        <f>[19]soa_yield!$D13</f>
        <v>0.49079541428571427</v>
      </c>
    </row>
    <row r="29" spans="1:8">
      <c r="A29" s="3" t="s">
        <v>26</v>
      </c>
      <c r="B29" s="8">
        <f>[16]soa_yield!$D14</f>
        <v>0.68873508364506342</v>
      </c>
      <c r="C29" s="8">
        <f>[17]soa_yield!$D14</f>
        <v>0.60415954280916417</v>
      </c>
      <c r="D29" s="8">
        <f>[20]soa_yield!$D14</f>
        <v>0.67930748704498056</v>
      </c>
      <c r="E29" s="8">
        <f>[18]soa_yield!$D14</f>
        <v>0.5467124187238136</v>
      </c>
      <c r="F29" s="8">
        <f>[19]soa_yield!$D14</f>
        <v>0.48953578982522544</v>
      </c>
    </row>
    <row r="30" spans="1:8">
      <c r="A30" s="3" t="s">
        <v>27</v>
      </c>
      <c r="B30" s="8">
        <f>[16]soa_yield!$D15</f>
        <v>0.7123497484036112</v>
      </c>
      <c r="C30" s="8">
        <f>[17]soa_yield!$D15</f>
        <v>0.62775130389433587</v>
      </c>
      <c r="D30" s="8">
        <f>[20]soa_yield!$D15</f>
        <v>0.71060354048044194</v>
      </c>
      <c r="E30" s="8">
        <f>[18]soa_yield!$D15</f>
        <v>0.57240521699275571</v>
      </c>
      <c r="F30" s="8">
        <f>[19]soa_yield!$D15</f>
        <v>0.51223333471850852</v>
      </c>
    </row>
    <row r="31" spans="1:8">
      <c r="A31" s="3" t="s">
        <v>28</v>
      </c>
      <c r="B31" s="8">
        <f>[16]soa_yield!$D16</f>
        <v>0.84953697190440602</v>
      </c>
      <c r="C31" s="8">
        <f>[17]soa_yield!$D16</f>
        <v>0.74220907826663352</v>
      </c>
      <c r="D31" s="8">
        <f>[20]soa_yield!$D16</f>
        <v>0.80778734494796767</v>
      </c>
      <c r="E31" s="8">
        <f>[18]soa_yield!$D16</f>
        <v>0.68309280867911737</v>
      </c>
      <c r="F31" s="8">
        <f>[19]soa_yield!$D16</f>
        <v>0.60736405083622336</v>
      </c>
    </row>
    <row r="32" spans="1:8">
      <c r="A32" s="3" t="s">
        <v>29</v>
      </c>
      <c r="B32" s="8">
        <f>[16]soa_yield!$D17</f>
        <v>4.9830576496337917E-2</v>
      </c>
      <c r="C32" s="8">
        <f>[17]soa_yield!$D17</f>
        <v>5.4949609722142218E-2</v>
      </c>
      <c r="D32" s="8">
        <f>[20]soa_yield!$D17</f>
        <v>6.0613462636058095E-2</v>
      </c>
      <c r="E32" s="8">
        <f>[18]soa_yield!$D17</f>
        <v>6.1977317704892329E-2</v>
      </c>
      <c r="F32" s="8">
        <f>[19]soa_yield!$D17</f>
        <v>6.2241737500130678E-2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workbookViewId="0">
      <selection activeCell="B14" sqref="B14:F14"/>
    </sheetView>
  </sheetViews>
  <sheetFormatPr defaultRowHeight="15"/>
  <cols>
    <col min="1" max="1" width="20.85546875" bestFit="1" customWidth="1"/>
    <col min="6" max="6" width="8.7109375" customWidth="1"/>
  </cols>
  <sheetData>
    <row r="1" spans="1:14">
      <c r="A1" t="s">
        <v>60</v>
      </c>
      <c r="B1" s="19"/>
      <c r="N1" t="s">
        <v>69</v>
      </c>
    </row>
    <row r="2" spans="1:14">
      <c r="A2" t="s">
        <v>13</v>
      </c>
      <c r="B2">
        <v>1</v>
      </c>
      <c r="C2">
        <v>2</v>
      </c>
      <c r="D2">
        <v>3</v>
      </c>
      <c r="E2" s="3">
        <v>4</v>
      </c>
      <c r="F2">
        <v>5</v>
      </c>
    </row>
    <row r="3" spans="1:14">
      <c r="A3" s="3" t="s">
        <v>18</v>
      </c>
      <c r="B3" s="32">
        <f>VLOOKUP($A3,'[21]pathway analysis'!$A$4:$L$11,7,FALSE)</f>
        <v>1106303960000</v>
      </c>
      <c r="C3" s="2">
        <f>VLOOKUP($A3,'[22]pathway analysis'!$A$4:$L$10,7,FALSE)</f>
        <v>3527513140000</v>
      </c>
      <c r="D3" s="2">
        <f>VLOOKUP($A3,'[23]pathway analysis'!$A$4:$L$10,7,FALSE)</f>
        <v>5174088740000</v>
      </c>
      <c r="E3" s="2">
        <f>VLOOKUP($A3,'[24]pathway analysis'!$A$4:$L$10,7,FALSE)</f>
        <v>5135523900000</v>
      </c>
      <c r="F3" s="2">
        <f>VLOOKUP($A3,'[25]pathway analysis'!$A$4:$L$11,7,FALSE)</f>
        <v>5132110000000</v>
      </c>
      <c r="G3" s="3"/>
      <c r="H3" s="3"/>
      <c r="I3" s="3"/>
      <c r="J3" s="3"/>
      <c r="K3" s="7"/>
    </row>
    <row r="4" spans="1:14">
      <c r="A4" s="3" t="s">
        <v>15</v>
      </c>
      <c r="B4" s="32">
        <f>VLOOKUP($A4,'[21]pathway analysis'!$A$4:$L$11,7,FALSE)</f>
        <v>3996637271243.8374</v>
      </c>
      <c r="C4" s="2">
        <f>VLOOKUP($A4,'[22]pathway analysis'!$A$4:$L$10,7,FALSE)</f>
        <v>2680999088005.1084</v>
      </c>
      <c r="D4" s="2">
        <f>VLOOKUP($A4,'[23]pathway analysis'!$A$4:$L$10,7,FALSE)</f>
        <v>2662030615326.4712</v>
      </c>
      <c r="E4" s="2">
        <f>VLOOKUP($A4,'[24]pathway analysis'!$A$4:$L$10,7,FALSE)</f>
        <v>1939889029907.1157</v>
      </c>
      <c r="F4" s="2">
        <f>VLOOKUP($A4,'[25]pathway analysis'!$A$4:$L$11,7,FALSE)</f>
        <v>1797048871290.2642</v>
      </c>
      <c r="G4" s="3"/>
      <c r="H4" s="3"/>
      <c r="I4" s="3"/>
      <c r="J4" s="3"/>
      <c r="K4" s="7"/>
    </row>
    <row r="5" spans="1:14">
      <c r="A5" s="3" t="s">
        <v>61</v>
      </c>
      <c r="B5" s="32">
        <f>VLOOKUP($A5,'[21]pathway analysis'!$A$4:$L$11,7,FALSE)</f>
        <v>1304962390000</v>
      </c>
      <c r="C5" s="2">
        <f>VLOOKUP($A5,'[22]pathway analysis'!$A$4:$L$10,7,FALSE)</f>
        <v>1036618340000</v>
      </c>
      <c r="D5" s="2">
        <f>VLOOKUP($A5,'[23]pathway analysis'!$A$4:$L$10,7,FALSE)</f>
        <v>915241300000</v>
      </c>
      <c r="E5" s="2">
        <f>VLOOKUP($A5,'[24]pathway analysis'!$A$4:$L$10,7,FALSE)</f>
        <v>899201300000</v>
      </c>
      <c r="F5" s="2">
        <f>VLOOKUP($A5,'[25]pathway analysis'!$A$4:$L$11,7,FALSE)</f>
        <v>851500000000</v>
      </c>
      <c r="G5" s="3"/>
      <c r="H5" s="3"/>
      <c r="I5" s="3"/>
      <c r="J5" s="3"/>
      <c r="K5" s="7"/>
    </row>
    <row r="6" spans="1:14">
      <c r="A6" s="3" t="s">
        <v>62</v>
      </c>
      <c r="B6" s="32">
        <f>VLOOKUP($A6,'[21]pathway analysis'!$A$4:$L$11,7,FALSE)</f>
        <v>10011074920852.998</v>
      </c>
      <c r="C6" s="2">
        <f>VLOOKUP($A6,'[22]pathway analysis'!$A$4:$L$10,7,FALSE)</f>
        <v>7862524071492.9336</v>
      </c>
      <c r="D6" s="2">
        <f>VLOOKUP($A6,'[23]pathway analysis'!$A$4:$L$10,7,FALSE)</f>
        <v>4232160483371.3511</v>
      </c>
      <c r="E6" s="2">
        <f>VLOOKUP($A6,'[24]pathway analysis'!$A$4:$L$10,7,FALSE)</f>
        <v>2185367766428.1628</v>
      </c>
      <c r="F6" s="2">
        <f>VLOOKUP($A6,'[25]pathway analysis'!$A$4:$L$11,7,FALSE)</f>
        <v>1452165142094.9463</v>
      </c>
      <c r="G6" s="3"/>
      <c r="H6" s="3"/>
      <c r="I6" s="3"/>
      <c r="J6" s="3"/>
      <c r="K6" s="7"/>
    </row>
    <row r="7" spans="1:14">
      <c r="A7" s="3" t="s">
        <v>14</v>
      </c>
      <c r="B7" s="32">
        <f>VLOOKUP($A7,'[21]pathway analysis'!$A$4:$L$11,7,FALSE)</f>
        <v>3084597003204.9385</v>
      </c>
      <c r="C7" s="2">
        <f>VLOOKUP($A7,'[22]pathway analysis'!$A$4:$L$10,7,FALSE)</f>
        <v>5260530979485.6006</v>
      </c>
      <c r="D7" s="2">
        <f>VLOOKUP($A7,'[23]pathway analysis'!$A$4:$L$10,7,FALSE)</f>
        <v>8504192345068.3203</v>
      </c>
      <c r="E7" s="2">
        <f>VLOOKUP($A7,'[24]pathway analysis'!$A$4:$L$10,7,FALSE)</f>
        <v>10930408504752.111</v>
      </c>
      <c r="F7" s="2">
        <f>VLOOKUP($A7,'[25]pathway analysis'!$A$4:$L$11,7,FALSE)</f>
        <v>10333192446421.285</v>
      </c>
      <c r="G7" s="3"/>
      <c r="H7" s="3"/>
      <c r="I7" s="3"/>
      <c r="J7" s="3"/>
      <c r="K7" s="7"/>
    </row>
    <row r="8" spans="1:14">
      <c r="C8" s="3"/>
      <c r="D8" s="3"/>
      <c r="E8" s="3"/>
      <c r="F8" s="3"/>
      <c r="G8" s="3"/>
      <c r="H8" s="3"/>
      <c r="I8" s="3"/>
      <c r="J8" s="3"/>
      <c r="K8" s="3"/>
    </row>
    <row r="9" spans="1:14">
      <c r="A9" t="s">
        <v>63</v>
      </c>
      <c r="B9" s="31">
        <f t="shared" ref="B9:F13" si="0">B29</f>
        <v>0.75526872380952381</v>
      </c>
      <c r="C9" s="31">
        <f t="shared" si="0"/>
        <v>0.80767721904761902</v>
      </c>
      <c r="D9" s="31">
        <f t="shared" si="0"/>
        <v>0.85786546761904758</v>
      </c>
      <c r="E9" s="31">
        <f t="shared" si="0"/>
        <v>0.86298072952380955</v>
      </c>
      <c r="F9" s="31">
        <f t="shared" si="0"/>
        <v>0.85652809523809526</v>
      </c>
      <c r="G9" s="3"/>
      <c r="H9" s="3"/>
      <c r="I9" s="3"/>
      <c r="J9" s="3"/>
      <c r="K9" s="3"/>
    </row>
    <row r="10" spans="1:14">
      <c r="A10" s="3" t="s">
        <v>26</v>
      </c>
      <c r="B10" s="33">
        <f t="shared" si="0"/>
        <v>0.58657313645422471</v>
      </c>
      <c r="C10" s="33">
        <f t="shared" si="0"/>
        <v>0.43810644614822419</v>
      </c>
      <c r="D10" s="33">
        <f t="shared" si="0"/>
        <v>0.29034483481226298</v>
      </c>
      <c r="E10" s="33">
        <f t="shared" si="0"/>
        <v>0.1965008264771016</v>
      </c>
      <c r="F10" s="33">
        <f t="shared" si="0"/>
        <v>0.11917127071823204</v>
      </c>
      <c r="G10" s="3"/>
      <c r="H10" s="3"/>
      <c r="I10" s="3"/>
      <c r="J10" s="3"/>
      <c r="K10" s="8"/>
    </row>
    <row r="11" spans="1:14">
      <c r="A11" s="3" t="s">
        <v>27</v>
      </c>
      <c r="B11" s="33">
        <f t="shared" si="0"/>
        <v>0.59512614448608592</v>
      </c>
      <c r="C11" s="33">
        <f t="shared" si="0"/>
        <v>0.44248322149906466</v>
      </c>
      <c r="D11" s="33">
        <f t="shared" si="0"/>
        <v>0.29225465870856215</v>
      </c>
      <c r="E11" s="33">
        <f t="shared" si="0"/>
        <v>0.19770923867803836</v>
      </c>
      <c r="F11" s="33">
        <f t="shared" si="0"/>
        <v>0.1199236091613409</v>
      </c>
      <c r="K11" s="8"/>
    </row>
    <row r="12" spans="1:14">
      <c r="A12" s="3" t="s">
        <v>64</v>
      </c>
      <c r="B12" s="33">
        <f t="shared" si="0"/>
        <v>0.72492107416247376</v>
      </c>
      <c r="C12" s="33">
        <f t="shared" si="0"/>
        <v>0.53148870153894512</v>
      </c>
      <c r="D12" s="33">
        <f t="shared" si="0"/>
        <v>0.34472730460496098</v>
      </c>
      <c r="E12" s="33">
        <f t="shared" si="0"/>
        <v>0.23390827012737758</v>
      </c>
      <c r="F12" s="33">
        <f t="shared" si="0"/>
        <v>0.14188862800458862</v>
      </c>
      <c r="K12" s="9"/>
    </row>
    <row r="13" spans="1:14">
      <c r="A13" s="3" t="s">
        <v>29</v>
      </c>
      <c r="B13" s="33">
        <f t="shared" si="0"/>
        <v>3.4597389502716278E-2</v>
      </c>
      <c r="C13" s="33">
        <f t="shared" si="0"/>
        <v>3.1193740550396417E-2</v>
      </c>
      <c r="D13" s="33">
        <f t="shared" si="0"/>
        <v>2.8094859434279577E-2</v>
      </c>
      <c r="E13" s="33">
        <f t="shared" si="0"/>
        <v>2.7762945998189646E-2</v>
      </c>
      <c r="F13" s="33">
        <f t="shared" si="0"/>
        <v>2.8243483288809077E-2</v>
      </c>
      <c r="K13" s="9"/>
    </row>
    <row r="14" spans="1:14">
      <c r="A14" s="3" t="s">
        <v>65</v>
      </c>
      <c r="B14" s="35">
        <v>0.63239999999999996</v>
      </c>
      <c r="C14" s="35">
        <v>0.62</v>
      </c>
      <c r="D14" s="35">
        <v>0.54559999999999997</v>
      </c>
      <c r="E14" s="35">
        <v>0.34720000000000001</v>
      </c>
      <c r="F14" s="35">
        <v>0.186</v>
      </c>
    </row>
    <row r="15" spans="1:14">
      <c r="A15" s="34" t="s">
        <v>66</v>
      </c>
    </row>
    <row r="21" spans="1:11">
      <c r="A21" t="s">
        <v>67</v>
      </c>
      <c r="B21" s="19"/>
    </row>
    <row r="22" spans="1:11">
      <c r="A22" t="s">
        <v>13</v>
      </c>
      <c r="B22">
        <v>1</v>
      </c>
      <c r="C22">
        <v>2</v>
      </c>
      <c r="D22">
        <v>3</v>
      </c>
      <c r="E22" s="3">
        <v>4</v>
      </c>
      <c r="F22">
        <v>5</v>
      </c>
    </row>
    <row r="23" spans="1:11">
      <c r="A23" s="3" t="s">
        <v>18</v>
      </c>
      <c r="B23" s="32">
        <f>VLOOKUP($A23,'[21]pathway analysis'!$A$4:$L$11,12,FALSE)</f>
        <v>928393340000</v>
      </c>
      <c r="C23" s="2">
        <f>VLOOKUP($A23,'[22]pathway analysis'!$A$4:$L$10,12,FALSE)</f>
        <v>3341148020000</v>
      </c>
      <c r="D23" s="2">
        <f>VLOOKUP($A23,'[23]pathway analysis'!$A$4:$L$10,12,FALSE)</f>
        <v>5051844020000</v>
      </c>
      <c r="E23" s="2">
        <f>VLOOKUP($A23,'[24]pathway analysis'!$A$4:$L$10,12,FALSE)</f>
        <v>5012998173000</v>
      </c>
      <c r="F23" s="2">
        <f>VLOOKUP($A23,'[25]pathway analysis'!$A$4:$L$11,12,FALSE)</f>
        <v>5041256000000</v>
      </c>
      <c r="G23" s="3"/>
      <c r="H23" s="3"/>
      <c r="I23" s="3"/>
      <c r="J23" s="3"/>
      <c r="K23" s="7"/>
    </row>
    <row r="24" spans="1:11">
      <c r="A24" s="3" t="s">
        <v>15</v>
      </c>
      <c r="B24" s="32">
        <f>VLOOKUP($A24,'[21]pathway analysis'!$A$4:$L$11,12,FALSE)</f>
        <v>9783530496179.5332</v>
      </c>
      <c r="C24" s="2">
        <f>VLOOKUP($A24,'[22]pathway analysis'!$A$4:$L$10,12,FALSE)</f>
        <v>5513171793032.7734</v>
      </c>
      <c r="D24" s="2">
        <f>VLOOKUP($A24,'[23]pathway analysis'!$A$4:$L$10,12,FALSE)</f>
        <v>4052371471526.2173</v>
      </c>
      <c r="E24" s="2">
        <f>VLOOKUP($A24,'[24]pathway analysis'!$A$4:$L$10,12,FALSE)</f>
        <v>3227482059871.6196</v>
      </c>
      <c r="F24" s="2">
        <f>VLOOKUP($A24,'[25]pathway analysis'!$A$4:$L$11,12,FALSE)</f>
        <v>2939796711938.104</v>
      </c>
      <c r="G24" s="3"/>
      <c r="H24" s="3"/>
      <c r="I24" s="3"/>
      <c r="J24" s="3"/>
      <c r="K24" s="7"/>
    </row>
    <row r="25" spans="1:11">
      <c r="A25" s="3" t="s">
        <v>61</v>
      </c>
      <c r="B25" s="32">
        <f>VLOOKUP($A25,'[21]pathway analysis'!$A$4:$L$11,12,FALSE)</f>
        <v>1435618620000</v>
      </c>
      <c r="C25" s="2">
        <f>VLOOKUP($A25,'[22]pathway analysis'!$A$4:$L$10,12,FALSE)</f>
        <v>1107133100000</v>
      </c>
      <c r="D25" s="2">
        <f>VLOOKUP($A25,'[23]pathway analysis'!$A$4:$L$10,12,FALSE)</f>
        <v>941168200000</v>
      </c>
      <c r="E25" s="2">
        <f>VLOOKUP($A25,'[24]pathway analysis'!$A$4:$L$10,12,FALSE)</f>
        <v>915080300000</v>
      </c>
      <c r="F25" s="2">
        <f>VLOOKUP($A25,'[25]pathway analysis'!$A$4:$L$11,12,FALSE)</f>
        <v>869100000000</v>
      </c>
      <c r="G25" s="3"/>
      <c r="H25" s="3"/>
      <c r="I25" s="3"/>
      <c r="J25" s="3"/>
      <c r="K25" s="7"/>
    </row>
    <row r="26" spans="1:11">
      <c r="A26" s="3" t="s">
        <v>62</v>
      </c>
      <c r="B26" s="32">
        <f>VLOOKUP($A26,'[21]pathway analysis'!$A$4:$L$11,12,FALSE)</f>
        <v>1182929201855.0139</v>
      </c>
      <c r="C26" s="2">
        <f>VLOOKUP($A26,'[22]pathway analysis'!$A$4:$L$10,12,FALSE)</f>
        <v>948339161502.17566</v>
      </c>
      <c r="D26" s="2">
        <f>VLOOKUP($A26,'[23]pathway analysis'!$A$4:$L$10,12,FALSE)</f>
        <v>489902523732.40259</v>
      </c>
      <c r="E26" s="2">
        <f>VLOOKUP($A26,'[24]pathway analysis'!$A$4:$L$10,12,FALSE)</f>
        <v>284286230167.56171</v>
      </c>
      <c r="F26" s="2">
        <f>VLOOKUP($A26,'[25]pathway analysis'!$A$4:$L$11,12,FALSE)</f>
        <v>320201222727.89899</v>
      </c>
      <c r="G26" s="3"/>
      <c r="H26" s="3"/>
      <c r="I26" s="3"/>
      <c r="J26" s="3"/>
      <c r="K26" s="7"/>
    </row>
    <row r="27" spans="1:11">
      <c r="A27" s="3" t="s">
        <v>14</v>
      </c>
      <c r="B27" s="32">
        <f>VLOOKUP($A27,'[21]pathway analysis'!$A$4:$L$11,12,FALSE)</f>
        <v>3106870073263.043</v>
      </c>
      <c r="C27" s="2">
        <f>VLOOKUP($A27,'[22]pathway analysis'!$A$4:$L$10,12,FALSE)</f>
        <v>4579351985940.0137</v>
      </c>
      <c r="D27" s="2">
        <f>VLOOKUP($A27,'[23]pathway analysis'!$A$4:$L$10,12,FALSE)</f>
        <v>7094380413565.7861</v>
      </c>
      <c r="E27" s="2">
        <f>VLOOKUP($A27,'[24]pathway analysis'!$A$4:$L$10,12,FALSE)</f>
        <v>8624154286757.248</v>
      </c>
      <c r="F27" s="2">
        <f>VLOOKUP($A27,'[25]pathway analysis'!$A$4:$L$11,12,FALSE)</f>
        <v>7251319141655.1787</v>
      </c>
      <c r="G27" s="3"/>
      <c r="H27" s="3"/>
      <c r="I27" s="3"/>
      <c r="J27" s="3"/>
      <c r="K27" s="7"/>
    </row>
    <row r="28" spans="1:11">
      <c r="C28" s="3"/>
      <c r="D28" s="3"/>
      <c r="E28" s="3"/>
      <c r="F28" s="3"/>
      <c r="G28" s="3"/>
      <c r="H28" s="3"/>
      <c r="I28" s="3"/>
      <c r="J28" s="3"/>
      <c r="K28" s="3"/>
    </row>
    <row r="29" spans="1:11">
      <c r="A29" t="s">
        <v>63</v>
      </c>
      <c r="B29" s="31">
        <f>[26]soa_yield!$D13</f>
        <v>0.75526872380952381</v>
      </c>
      <c r="C29" s="31">
        <f>[22]soa_yield!$D13</f>
        <v>0.80767721904761902</v>
      </c>
      <c r="D29" s="31">
        <f>[23]soa_yield!$D13</f>
        <v>0.85786546761904758</v>
      </c>
      <c r="E29" s="31">
        <f>[24]soa_yield!$D13</f>
        <v>0.86298072952380955</v>
      </c>
      <c r="F29" s="31">
        <f>[25]soa_yield!$D13</f>
        <v>0.85652809523809526</v>
      </c>
      <c r="G29" s="3"/>
      <c r="H29" s="3"/>
      <c r="I29" s="3"/>
      <c r="J29" s="3"/>
      <c r="K29" s="3"/>
    </row>
    <row r="30" spans="1:11">
      <c r="A30" s="3" t="s">
        <v>26</v>
      </c>
      <c r="B30" s="8">
        <f>[26]soa_yield!$D14</f>
        <v>0.58657313645422471</v>
      </c>
      <c r="C30" s="8">
        <f>[22]soa_yield!$D14</f>
        <v>0.43810644614822419</v>
      </c>
      <c r="D30" s="8">
        <f>[23]soa_yield!$D14</f>
        <v>0.29034483481226298</v>
      </c>
      <c r="E30" s="8">
        <f>[24]soa_yield!$D14</f>
        <v>0.1965008264771016</v>
      </c>
      <c r="F30" s="8">
        <f>[25]soa_yield!$D14</f>
        <v>0.11917127071823204</v>
      </c>
      <c r="G30" s="3"/>
      <c r="H30" s="3"/>
      <c r="I30" s="3"/>
      <c r="J30" s="3"/>
      <c r="K30" s="8"/>
    </row>
    <row r="31" spans="1:11">
      <c r="A31" s="3" t="s">
        <v>27</v>
      </c>
      <c r="B31" s="8">
        <f>[26]soa_yield!$D15</f>
        <v>0.59512614448608592</v>
      </c>
      <c r="C31" s="8">
        <f>[22]soa_yield!$D15</f>
        <v>0.44248322149906466</v>
      </c>
      <c r="D31" s="8">
        <f>[23]soa_yield!$D15</f>
        <v>0.29225465870856215</v>
      </c>
      <c r="E31" s="8">
        <f>[24]soa_yield!$D15</f>
        <v>0.19770923867803836</v>
      </c>
      <c r="F31" s="8">
        <f>[25]soa_yield!$D15</f>
        <v>0.1199236091613409</v>
      </c>
      <c r="K31" s="8"/>
    </row>
    <row r="32" spans="1:11">
      <c r="A32" s="3" t="s">
        <v>64</v>
      </c>
      <c r="B32" s="8">
        <f>[26]soa_yield!$D16</f>
        <v>0.72492107416247376</v>
      </c>
      <c r="C32" s="8">
        <f>[22]soa_yield!$D16</f>
        <v>0.53148870153894512</v>
      </c>
      <c r="D32" s="8">
        <f>[23]soa_yield!$D16</f>
        <v>0.34472730460496098</v>
      </c>
      <c r="E32" s="8">
        <f>[24]soa_yield!$D16</f>
        <v>0.23390827012737758</v>
      </c>
      <c r="F32" s="8">
        <f>[25]soa_yield!$D16</f>
        <v>0.14188862800458862</v>
      </c>
      <c r="K32" s="9"/>
    </row>
    <row r="33" spans="1:11">
      <c r="A33" s="3" t="s">
        <v>29</v>
      </c>
      <c r="B33" s="8">
        <f>[26]soa_yield!$D17</f>
        <v>3.4597389502716278E-2</v>
      </c>
      <c r="C33" s="8">
        <f>[22]soa_yield!$D17</f>
        <v>3.1193740550396417E-2</v>
      </c>
      <c r="D33" s="8">
        <f>[23]soa_yield!$D17</f>
        <v>2.8094859434279577E-2</v>
      </c>
      <c r="E33" s="8">
        <f>[24]soa_yield!$D17</f>
        <v>2.7762945998189646E-2</v>
      </c>
      <c r="F33" s="8">
        <f>[25]soa_yield!$D17</f>
        <v>2.8243483288809077E-2</v>
      </c>
      <c r="K33" s="9"/>
    </row>
    <row r="34" spans="1:11">
      <c r="A34" s="3" t="s">
        <v>65</v>
      </c>
      <c r="B34" s="35">
        <f>B14</f>
        <v>0.63239999999999996</v>
      </c>
      <c r="C34" s="35">
        <f>C14</f>
        <v>0.62</v>
      </c>
      <c r="D34" s="35">
        <f>D14</f>
        <v>0.54559999999999997</v>
      </c>
      <c r="E34" s="35">
        <f>E14</f>
        <v>0.34720000000000001</v>
      </c>
      <c r="F34" s="35">
        <f>F14</f>
        <v>0.186</v>
      </c>
    </row>
    <row r="35" spans="1:11">
      <c r="A35" s="34" t="s">
        <v>66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BR1</vt:lpstr>
      <vt:lpstr>BR2</vt:lpstr>
      <vt:lpstr>BR3</vt:lpstr>
      <vt:lpstr>BR4</vt:lpstr>
      <vt:lpstr>BR5</vt:lpstr>
      <vt:lpstr>BR_all</vt:lpstr>
      <vt:lpstr>paths_all</vt:lpstr>
      <vt:lpstr>paths_all_DHF</vt:lpstr>
      <vt:lpstr>paths_all (DHF_multi_g)</vt:lpstr>
      <vt:lpstr>paths_all (revised)</vt:lpstr>
      <vt:lpstr>12-bar plot</vt:lpstr>
      <vt:lpstr>C</vt:lpstr>
      <vt:lpstr>CN</vt:lpstr>
      <vt:lpstr>HC</vt:lpstr>
      <vt:lpstr>HN</vt:lpstr>
      <vt:lpstr>NN</vt:lpstr>
      <vt:lpstr>HCN</vt:lpstr>
      <vt:lpstr>HHC</vt:lpstr>
      <vt:lpstr>HHN</vt:lpstr>
      <vt:lpstr>HNN</vt:lpstr>
      <vt:lpstr>HHCN</vt:lpstr>
      <vt:lpstr>HHNN</vt:lpstr>
      <vt:lpstr>DCMP</vt:lpstr>
    </vt:vector>
  </TitlesOfParts>
  <Company>NCAR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Lee-Taylor</dc:creator>
  <cp:lastModifiedBy>Julia Lee-Taylor</cp:lastModifiedBy>
  <dcterms:created xsi:type="dcterms:W3CDTF">2020-11-04T21:44:54Z</dcterms:created>
  <dcterms:modified xsi:type="dcterms:W3CDTF">2022-07-18T19:57:50Z</dcterms:modified>
</cp:coreProperties>
</file>